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rfeathers\Documents\Chemical\"/>
    </mc:Choice>
  </mc:AlternateContent>
  <xr:revisionPtr revIDLastSave="0" documentId="13_ncr:1_{0A8B90E9-82B2-4C6A-B120-653DD5ECBC02}" xr6:coauthVersionLast="47" xr6:coauthVersionMax="47" xr10:uidLastSave="{00000000-0000-0000-0000-000000000000}"/>
  <bookViews>
    <workbookView xWindow="-120" yWindow="-120" windowWidth="29040" windowHeight="15840" firstSheet="8" activeTab="12" xr2:uid="{00000000-000D-0000-FFFF-FFFF00000000}"/>
  </bookViews>
  <sheets>
    <sheet name="Fwy &amp; Tee Schedule  " sheetId="1" r:id="rId1"/>
    <sheet name="Fwy &amp; Tee Quantities " sheetId="2" r:id="rId2"/>
    <sheet name="Fairway, Tee Breakdown" sheetId="9" r:id="rId3"/>
    <sheet name="Range Schedule" sheetId="10" r:id="rId4"/>
    <sheet name="Range Quantities" sheetId="11" r:id="rId5"/>
    <sheet name="Range Breakdown" sheetId="12" r:id="rId6"/>
    <sheet name="Greens Spray Schedule " sheetId="3" r:id="rId7"/>
    <sheet name="Greens Quantities " sheetId="4" r:id="rId8"/>
    <sheet name="Greens Breakdown" sheetId="13" r:id="rId9"/>
    <sheet name="Rough Spray Schedule" sheetId="6" r:id="rId10"/>
    <sheet name="Rough Quantities" sheetId="7" r:id="rId11"/>
    <sheet name="Rough Breakdown" sheetId="14" r:id="rId12"/>
    <sheet name="Granular Fertilizer" sheetId="16" r:id="rId13"/>
    <sheet name="Granular Fertilizer Breakdown" sheetId="17" r:id="rId14"/>
    <sheet name="Total Order Sheet" sheetId="5" r:id="rId15"/>
    <sheet name="Total Monthly Breakdown" sheetId="15" r:id="rId16"/>
    <sheet name="Vendors" sheetId="8" r:id="rId17"/>
    <sheet name="Delayed Product Dates" sheetId="18" r:id="rId18"/>
  </sheets>
  <definedNames>
    <definedName name="_xlnm.Print_Area" localSheetId="16">Vendors!$A$2:$F$29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4" l="1"/>
  <c r="L5" i="14"/>
  <c r="T5" i="14"/>
  <c r="R5" i="12"/>
  <c r="E63" i="5"/>
  <c r="X33" i="13"/>
  <c r="W33" i="13"/>
  <c r="V33" i="13"/>
  <c r="U33" i="13"/>
  <c r="T33" i="13"/>
  <c r="S33" i="13"/>
  <c r="R9" i="9"/>
  <c r="V3" i="13"/>
  <c r="U3" i="13"/>
  <c r="X9" i="13"/>
  <c r="W9" i="13"/>
  <c r="V9" i="13"/>
  <c r="U9" i="13"/>
  <c r="T9" i="13"/>
  <c r="S9" i="13"/>
  <c r="Y32" i="9"/>
  <c r="Y32" i="12"/>
  <c r="Q32" i="12"/>
  <c r="Q32" i="9"/>
  <c r="T20" i="14"/>
  <c r="X31" i="13"/>
  <c r="X31" i="12"/>
  <c r="X31" i="9"/>
  <c r="W31" i="9"/>
  <c r="W31" i="12"/>
  <c r="W31" i="13"/>
  <c r="V31" i="13"/>
  <c r="V31" i="12"/>
  <c r="V31" i="9"/>
  <c r="U31" i="9"/>
  <c r="U31" i="12"/>
  <c r="U31" i="13"/>
  <c r="T31" i="13"/>
  <c r="T31" i="12"/>
  <c r="T31" i="9"/>
  <c r="S31" i="9"/>
  <c r="S31" i="12"/>
  <c r="W12" i="13"/>
  <c r="V13" i="13"/>
  <c r="T13" i="13"/>
  <c r="S13" i="13"/>
  <c r="V16" i="9"/>
  <c r="H54" i="9"/>
  <c r="G54" i="9"/>
  <c r="F54" i="9"/>
  <c r="E54" i="9"/>
  <c r="D54" i="9"/>
  <c r="C54" i="9"/>
  <c r="S44" i="9"/>
  <c r="R44" i="9"/>
  <c r="R42" i="9"/>
  <c r="W44" i="9"/>
  <c r="V44" i="9"/>
  <c r="U44" i="9"/>
  <c r="T44" i="9"/>
  <c r="H42" i="9"/>
  <c r="K42" i="9"/>
  <c r="L42" i="9" s="1"/>
  <c r="C42" i="9"/>
  <c r="C40" i="9"/>
  <c r="L53" i="2"/>
  <c r="L52" i="2"/>
  <c r="J53" i="2"/>
  <c r="J52" i="2"/>
  <c r="O54" i="13"/>
  <c r="L54" i="13"/>
  <c r="I54" i="13"/>
  <c r="G54" i="13"/>
  <c r="H53" i="13"/>
  <c r="H52" i="13"/>
  <c r="G52" i="13"/>
  <c r="G53" i="13"/>
  <c r="H40" i="13"/>
  <c r="G40" i="13" s="1"/>
  <c r="H39" i="13"/>
  <c r="G39" i="13" s="1"/>
  <c r="H35" i="13"/>
  <c r="H51" i="13"/>
  <c r="G51" i="13" s="1"/>
  <c r="H50" i="13"/>
  <c r="G50" i="13" s="1"/>
  <c r="H49" i="13"/>
  <c r="G49" i="13" s="1"/>
  <c r="H42" i="13"/>
  <c r="G42" i="13" s="1"/>
  <c r="E58" i="4"/>
  <c r="H36" i="13"/>
  <c r="G36" i="13" s="1"/>
  <c r="H37" i="13"/>
  <c r="G37" i="13" s="1"/>
  <c r="H38" i="13"/>
  <c r="G38" i="13" s="1"/>
  <c r="H48" i="13"/>
  <c r="G48" i="13" s="1"/>
  <c r="H41" i="13"/>
  <c r="G41" i="13" s="1"/>
  <c r="H43" i="13"/>
  <c r="G43" i="13" s="1"/>
  <c r="H44" i="13"/>
  <c r="G44" i="13" s="1"/>
  <c r="H45" i="13"/>
  <c r="G45" i="13" s="1"/>
  <c r="H46" i="13"/>
  <c r="G46" i="13" s="1"/>
  <c r="H47" i="13"/>
  <c r="G47" i="13" s="1"/>
  <c r="K38" i="13"/>
  <c r="L38" i="13" s="1"/>
  <c r="K37" i="13"/>
  <c r="L37" i="13" s="1"/>
  <c r="K36" i="13"/>
  <c r="L36" i="13" s="1"/>
  <c r="K35" i="13"/>
  <c r="L35" i="13" s="1"/>
  <c r="K53" i="13"/>
  <c r="L53" i="13" s="1"/>
  <c r="K52" i="13"/>
  <c r="L52" i="13" s="1"/>
  <c r="K51" i="13"/>
  <c r="L51" i="13" s="1"/>
  <c r="K50" i="13"/>
  <c r="L50" i="13" s="1"/>
  <c r="K48" i="13"/>
  <c r="L48" i="13" s="1"/>
  <c r="K47" i="13"/>
  <c r="L47" i="13" s="1"/>
  <c r="K46" i="13"/>
  <c r="L46" i="13" s="1"/>
  <c r="K45" i="13"/>
  <c r="L45" i="13" s="1"/>
  <c r="K44" i="13"/>
  <c r="L44" i="13" s="1"/>
  <c r="K43" i="13"/>
  <c r="L43" i="13" s="1"/>
  <c r="K42" i="13"/>
  <c r="L42" i="13" s="1"/>
  <c r="K41" i="13"/>
  <c r="L41" i="13" s="1"/>
  <c r="K40" i="13"/>
  <c r="L40" i="13" s="1"/>
  <c r="K39" i="13"/>
  <c r="L39" i="13" s="1"/>
  <c r="K34" i="13"/>
  <c r="K33" i="13"/>
  <c r="E3" i="5"/>
  <c r="J5" i="13"/>
  <c r="J7" i="13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9" i="4"/>
  <c r="K60" i="4"/>
  <c r="K61" i="4"/>
  <c r="K62" i="4"/>
  <c r="K44" i="4"/>
  <c r="K41" i="4"/>
  <c r="I59" i="4"/>
  <c r="I60" i="4"/>
  <c r="I61" i="4"/>
  <c r="I62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44" i="4"/>
  <c r="I38" i="4"/>
  <c r="I41" i="4"/>
  <c r="E59" i="4"/>
  <c r="E60" i="4"/>
  <c r="E61" i="4"/>
  <c r="E62" i="4"/>
  <c r="I58" i="4"/>
  <c r="E11" i="4"/>
  <c r="E47" i="4"/>
  <c r="E48" i="4"/>
  <c r="E49" i="4"/>
  <c r="E50" i="4"/>
  <c r="E51" i="4"/>
  <c r="E52" i="4"/>
  <c r="E53" i="4"/>
  <c r="E54" i="4"/>
  <c r="E55" i="4"/>
  <c r="E56" i="4"/>
  <c r="E57" i="4"/>
  <c r="E46" i="4"/>
  <c r="E45" i="4"/>
  <c r="I29" i="4"/>
  <c r="E44" i="4"/>
  <c r="E34" i="4"/>
  <c r="E41" i="4"/>
  <c r="B41" i="4"/>
  <c r="E38" i="4"/>
  <c r="E3" i="4"/>
  <c r="B3" i="4"/>
  <c r="L10" i="15"/>
  <c r="B33" i="4"/>
  <c r="N83" i="5"/>
  <c r="C32" i="14"/>
  <c r="O13" i="17"/>
  <c r="E99" i="5"/>
  <c r="E4" i="16"/>
  <c r="L24" i="17"/>
  <c r="L16" i="17"/>
  <c r="L23" i="14"/>
  <c r="H23" i="14"/>
  <c r="B49" i="11"/>
  <c r="B48" i="11"/>
  <c r="B47" i="11"/>
  <c r="B46" i="11"/>
  <c r="B45" i="11"/>
  <c r="B44" i="11"/>
  <c r="B38" i="11"/>
  <c r="B52" i="2"/>
  <c r="B51" i="2"/>
  <c r="B50" i="2"/>
  <c r="B49" i="2"/>
  <c r="B48" i="2"/>
  <c r="C40" i="12"/>
  <c r="B37" i="11"/>
  <c r="B47" i="2"/>
  <c r="B42" i="2"/>
  <c r="C36" i="9"/>
  <c r="J41" i="12"/>
  <c r="J40" i="12"/>
  <c r="J39" i="12"/>
  <c r="J38" i="12"/>
  <c r="J36" i="12"/>
  <c r="J37" i="12"/>
  <c r="L36" i="9"/>
  <c r="O12" i="15"/>
  <c r="O5" i="15"/>
  <c r="O6" i="15"/>
  <c r="O7" i="15"/>
  <c r="O8" i="15"/>
  <c r="O9" i="15"/>
  <c r="O10" i="15"/>
  <c r="O4" i="15"/>
  <c r="N12" i="15"/>
  <c r="L46" i="5"/>
  <c r="H4" i="17"/>
  <c r="G4" i="17" s="1"/>
  <c r="I4" i="17"/>
  <c r="F83" i="8"/>
  <c r="F82" i="8"/>
  <c r="F81" i="8"/>
  <c r="K37" i="2"/>
  <c r="H23" i="17"/>
  <c r="G23" i="17"/>
  <c r="H22" i="17"/>
  <c r="H20" i="17"/>
  <c r="H3" i="17"/>
  <c r="H5" i="17"/>
  <c r="H6" i="17"/>
  <c r="H7" i="17"/>
  <c r="H12" i="17"/>
  <c r="H13" i="17"/>
  <c r="H14" i="17"/>
  <c r="H15" i="17"/>
  <c r="R13" i="16"/>
  <c r="R12" i="16"/>
  <c r="R11" i="16"/>
  <c r="R10" i="16"/>
  <c r="R9" i="16"/>
  <c r="R8" i="16"/>
  <c r="R7" i="16"/>
  <c r="R6" i="16"/>
  <c r="R3" i="16"/>
  <c r="G6" i="17"/>
  <c r="H21" i="17"/>
  <c r="G21" i="17"/>
  <c r="G22" i="17"/>
  <c r="G20" i="17"/>
  <c r="F18" i="16"/>
  <c r="F6" i="16"/>
  <c r="J6" i="16"/>
  <c r="C6" i="17"/>
  <c r="K6" i="17"/>
  <c r="L6" i="17" s="1"/>
  <c r="F21" i="16"/>
  <c r="J21" i="16"/>
  <c r="F20" i="16"/>
  <c r="J20" i="16" s="1"/>
  <c r="F19" i="16"/>
  <c r="J19" i="16" s="1"/>
  <c r="J18" i="16"/>
  <c r="K22" i="17"/>
  <c r="L22" i="17" s="1"/>
  <c r="C22" i="17"/>
  <c r="K23" i="17"/>
  <c r="L23" i="17" s="1"/>
  <c r="C23" i="17"/>
  <c r="K21" i="17"/>
  <c r="L21" i="17" s="1"/>
  <c r="K20" i="17"/>
  <c r="L20" i="17" s="1"/>
  <c r="C15" i="17"/>
  <c r="C14" i="17"/>
  <c r="G15" i="17"/>
  <c r="G14" i="17"/>
  <c r="G13" i="17"/>
  <c r="G12" i="17"/>
  <c r="C7" i="17"/>
  <c r="C5" i="17"/>
  <c r="O4" i="17"/>
  <c r="O5" i="17"/>
  <c r="O7" i="17"/>
  <c r="G3" i="17"/>
  <c r="C3" i="17"/>
  <c r="F14" i="16"/>
  <c r="J14" i="16" s="1"/>
  <c r="K15" i="17" s="1"/>
  <c r="L15" i="17" s="1"/>
  <c r="F12" i="16"/>
  <c r="F11" i="16"/>
  <c r="F13" i="16"/>
  <c r="J13" i="16" s="1"/>
  <c r="K14" i="17" s="1"/>
  <c r="L14" i="17" s="1"/>
  <c r="F7" i="16"/>
  <c r="J7" i="16" s="1"/>
  <c r="K7" i="17" s="1"/>
  <c r="L7" i="17" s="1"/>
  <c r="F5" i="16"/>
  <c r="J5" i="16" s="1"/>
  <c r="K5" i="17" s="1"/>
  <c r="L5" i="17" s="1"/>
  <c r="F4" i="16"/>
  <c r="J4" i="16" s="1"/>
  <c r="F3" i="16"/>
  <c r="J3" i="16" s="1"/>
  <c r="K3" i="17" s="1"/>
  <c r="L3" i="17" s="1"/>
  <c r="J12" i="16"/>
  <c r="K13" i="17" s="1"/>
  <c r="L13" i="17" s="1"/>
  <c r="J11" i="16"/>
  <c r="K12" i="17" s="1"/>
  <c r="L12" i="17" s="1"/>
  <c r="D60" i="8"/>
  <c r="D59" i="8"/>
  <c r="D27" i="8"/>
  <c r="L77" i="5"/>
  <c r="J29" i="12"/>
  <c r="J20" i="14"/>
  <c r="H20" i="14" s="1"/>
  <c r="B35" i="11"/>
  <c r="F35" i="11" s="1"/>
  <c r="K35" i="11" s="1"/>
  <c r="D64" i="5" s="1"/>
  <c r="M3" i="7"/>
  <c r="D107" i="5"/>
  <c r="D62" i="5"/>
  <c r="K42" i="7"/>
  <c r="G42" i="7"/>
  <c r="G43" i="7"/>
  <c r="L11" i="5"/>
  <c r="L85" i="5"/>
  <c r="L84" i="5"/>
  <c r="L83" i="5"/>
  <c r="L81" i="5"/>
  <c r="L76" i="5"/>
  <c r="L75" i="5"/>
  <c r="L74" i="5"/>
  <c r="L73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3" i="5"/>
  <c r="L52" i="5"/>
  <c r="L51" i="5"/>
  <c r="L49" i="5"/>
  <c r="L48" i="5"/>
  <c r="L47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0" i="5"/>
  <c r="L9" i="5"/>
  <c r="L8" i="5"/>
  <c r="L7" i="5"/>
  <c r="L6" i="5"/>
  <c r="L5" i="5"/>
  <c r="L4" i="5"/>
  <c r="L3" i="5"/>
  <c r="G35" i="7"/>
  <c r="G39" i="7"/>
  <c r="G36" i="7"/>
  <c r="G37" i="7"/>
  <c r="G38" i="7"/>
  <c r="C20" i="14"/>
  <c r="J14" i="14"/>
  <c r="H14" i="14" s="1"/>
  <c r="J13" i="14"/>
  <c r="H13" i="14" s="1"/>
  <c r="G13" i="14"/>
  <c r="G14" i="14"/>
  <c r="C14" i="14"/>
  <c r="C13" i="14"/>
  <c r="G21" i="7"/>
  <c r="K21" i="7" s="1"/>
  <c r="G22" i="7"/>
  <c r="M21" i="7"/>
  <c r="K13" i="14" s="1"/>
  <c r="K22" i="7"/>
  <c r="M22" i="7" s="1"/>
  <c r="D29" i="14"/>
  <c r="F29" i="14"/>
  <c r="G29" i="14"/>
  <c r="J19" i="14"/>
  <c r="H19" i="14" s="1"/>
  <c r="O19" i="14" s="1"/>
  <c r="Q19" i="14" s="1"/>
  <c r="B29" i="14" s="1"/>
  <c r="J18" i="14"/>
  <c r="H18" i="14" s="1"/>
  <c r="O18" i="14" s="1"/>
  <c r="J17" i="14"/>
  <c r="H17" i="14" s="1"/>
  <c r="J16" i="14"/>
  <c r="H16" i="14" s="1"/>
  <c r="O16" i="14" s="1"/>
  <c r="R16" i="14" s="1"/>
  <c r="J15" i="14"/>
  <c r="H15" i="14" s="1"/>
  <c r="O15" i="14"/>
  <c r="W15" i="14" s="1"/>
  <c r="G15" i="14"/>
  <c r="G16" i="14"/>
  <c r="G18" i="14"/>
  <c r="G19" i="14"/>
  <c r="C19" i="14"/>
  <c r="I19" i="14" s="1"/>
  <c r="C18" i="14"/>
  <c r="I18" i="14" s="1"/>
  <c r="C17" i="14"/>
  <c r="I17" i="14" s="1"/>
  <c r="C16" i="14"/>
  <c r="I16" i="14" s="1"/>
  <c r="C15" i="14"/>
  <c r="K36" i="7"/>
  <c r="M36" i="7" s="1"/>
  <c r="K37" i="7"/>
  <c r="M37" i="7" s="1"/>
  <c r="K38" i="7"/>
  <c r="M38" i="7" s="1"/>
  <c r="K39" i="7"/>
  <c r="M39" i="7" s="1"/>
  <c r="D68" i="8"/>
  <c r="D67" i="8"/>
  <c r="D66" i="8"/>
  <c r="D65" i="8"/>
  <c r="D33" i="8"/>
  <c r="D21" i="8"/>
  <c r="D19" i="8"/>
  <c r="D17" i="8"/>
  <c r="D14" i="8"/>
  <c r="D12" i="8"/>
  <c r="E28" i="8"/>
  <c r="D28" i="8"/>
  <c r="F28" i="8" s="1"/>
  <c r="D10" i="8"/>
  <c r="D77" i="8"/>
  <c r="D76" i="8"/>
  <c r="F14" i="8"/>
  <c r="F17" i="8"/>
  <c r="F19" i="8"/>
  <c r="F21" i="8"/>
  <c r="F26" i="8"/>
  <c r="F27" i="8"/>
  <c r="C12" i="14"/>
  <c r="C11" i="14"/>
  <c r="C10" i="14"/>
  <c r="C9" i="14"/>
  <c r="C8" i="14"/>
  <c r="C7" i="14"/>
  <c r="C6" i="14"/>
  <c r="D72" i="8"/>
  <c r="C5" i="14"/>
  <c r="C4" i="14"/>
  <c r="C3" i="14"/>
  <c r="C22" i="14"/>
  <c r="C21" i="14"/>
  <c r="D71" i="8"/>
  <c r="D70" i="8"/>
  <c r="D69" i="8"/>
  <c r="C65" i="13"/>
  <c r="D65" i="13"/>
  <c r="B65" i="13"/>
  <c r="B64" i="13"/>
  <c r="C63" i="13"/>
  <c r="D63" i="13"/>
  <c r="D64" i="8"/>
  <c r="B63" i="13"/>
  <c r="D63" i="8"/>
  <c r="C62" i="13"/>
  <c r="I62" i="13"/>
  <c r="J62" i="13"/>
  <c r="B62" i="13"/>
  <c r="D62" i="8"/>
  <c r="D61" i="8"/>
  <c r="E58" i="8"/>
  <c r="D58" i="8"/>
  <c r="F58" i="8" s="1"/>
  <c r="D57" i="8"/>
  <c r="D56" i="8"/>
  <c r="D55" i="8"/>
  <c r="D54" i="8"/>
  <c r="D53" i="8"/>
  <c r="D19" i="13"/>
  <c r="J19" i="13"/>
  <c r="B17" i="4"/>
  <c r="E17" i="4" s="1"/>
  <c r="D52" i="8"/>
  <c r="D51" i="8"/>
  <c r="D50" i="8"/>
  <c r="D49" i="8"/>
  <c r="D48" i="8"/>
  <c r="D43" i="8"/>
  <c r="D42" i="8"/>
  <c r="D41" i="8"/>
  <c r="D40" i="8"/>
  <c r="D39" i="8"/>
  <c r="D38" i="8"/>
  <c r="D37" i="8"/>
  <c r="D36" i="8"/>
  <c r="D35" i="8"/>
  <c r="D34" i="8"/>
  <c r="D25" i="8"/>
  <c r="D24" i="8"/>
  <c r="D23" i="8"/>
  <c r="D22" i="8"/>
  <c r="D20" i="8"/>
  <c r="D18" i="8"/>
  <c r="J31" i="13"/>
  <c r="D16" i="8"/>
  <c r="D15" i="8"/>
  <c r="D13" i="8"/>
  <c r="D31" i="13"/>
  <c r="D11" i="8"/>
  <c r="D9" i="8"/>
  <c r="D8" i="8"/>
  <c r="D7" i="8"/>
  <c r="D6" i="8"/>
  <c r="D5" i="8"/>
  <c r="C52" i="12"/>
  <c r="C53" i="12"/>
  <c r="H53" i="12"/>
  <c r="I53" i="12"/>
  <c r="J53" i="12"/>
  <c r="C51" i="12"/>
  <c r="J51" i="12"/>
  <c r="C50" i="12"/>
  <c r="H50" i="12"/>
  <c r="I50" i="12"/>
  <c r="J50" i="12"/>
  <c r="B49" i="12"/>
  <c r="B50" i="12"/>
  <c r="B51" i="12"/>
  <c r="B53" i="12"/>
  <c r="D4" i="8"/>
  <c r="D89" i="10"/>
  <c r="J20" i="12"/>
  <c r="J32" i="12"/>
  <c r="D32" i="12"/>
  <c r="H32" i="12" s="1"/>
  <c r="O32" i="12" s="1"/>
  <c r="C53" i="9"/>
  <c r="I53" i="9"/>
  <c r="J53" i="9"/>
  <c r="B53" i="9"/>
  <c r="C52" i="9"/>
  <c r="B51" i="9"/>
  <c r="J51" i="9"/>
  <c r="H50" i="9"/>
  <c r="I50" i="9"/>
  <c r="J50" i="9"/>
  <c r="B50" i="9"/>
  <c r="B49" i="9"/>
  <c r="M42" i="5"/>
  <c r="N42" i="5"/>
  <c r="B22" i="11"/>
  <c r="F22" i="11"/>
  <c r="K22" i="11" s="1"/>
  <c r="D180" i="1"/>
  <c r="D191" i="1"/>
  <c r="D179" i="1"/>
  <c r="D190" i="1"/>
  <c r="D178" i="1"/>
  <c r="D189" i="1"/>
  <c r="D203" i="1"/>
  <c r="D205" i="1"/>
  <c r="D204" i="1"/>
  <c r="D215" i="1"/>
  <c r="D175" i="10"/>
  <c r="D152" i="10"/>
  <c r="E62" i="5"/>
  <c r="D137" i="10"/>
  <c r="D138" i="10"/>
  <c r="J22" i="13"/>
  <c r="J21" i="13"/>
  <c r="L50" i="5"/>
  <c r="G27" i="7"/>
  <c r="G3" i="7"/>
  <c r="G4" i="7"/>
  <c r="G5" i="7"/>
  <c r="G7" i="7"/>
  <c r="G8" i="7"/>
  <c r="G10" i="7"/>
  <c r="K10" i="7"/>
  <c r="D46" i="10"/>
  <c r="D28" i="10"/>
  <c r="D8" i="10"/>
  <c r="D5" i="10"/>
  <c r="D7" i="10"/>
  <c r="J14" i="12"/>
  <c r="D96" i="10"/>
  <c r="B14" i="11"/>
  <c r="F14" i="11" s="1"/>
  <c r="D150" i="10"/>
  <c r="D123" i="10"/>
  <c r="D122" i="10"/>
  <c r="D93" i="10"/>
  <c r="D92" i="10"/>
  <c r="D30" i="10"/>
  <c r="D65" i="10"/>
  <c r="D64" i="10"/>
  <c r="D63" i="10"/>
  <c r="D34" i="10"/>
  <c r="D35" i="10"/>
  <c r="D32" i="10"/>
  <c r="B30" i="14"/>
  <c r="D7" i="15" s="1"/>
  <c r="I29" i="14"/>
  <c r="X25" i="14"/>
  <c r="J22" i="14"/>
  <c r="J12" i="14"/>
  <c r="H12" i="14" s="1"/>
  <c r="J11" i="14"/>
  <c r="H11" i="14" s="1"/>
  <c r="J10" i="14"/>
  <c r="H10" i="14" s="1"/>
  <c r="D8" i="1"/>
  <c r="D5" i="1"/>
  <c r="D218" i="1"/>
  <c r="D196" i="1"/>
  <c r="D112" i="1"/>
  <c r="D34" i="1"/>
  <c r="J3" i="14"/>
  <c r="J9" i="14"/>
  <c r="J8" i="14"/>
  <c r="J7" i="14"/>
  <c r="J6" i="14"/>
  <c r="H6" i="14" s="1"/>
  <c r="G6" i="14" s="1"/>
  <c r="J5" i="14"/>
  <c r="B9" i="4"/>
  <c r="D258" i="3"/>
  <c r="D251" i="3"/>
  <c r="D242" i="3"/>
  <c r="D237" i="3"/>
  <c r="D227" i="3"/>
  <c r="D214" i="3"/>
  <c r="D204" i="3"/>
  <c r="D192" i="3"/>
  <c r="D181" i="3"/>
  <c r="D168" i="3"/>
  <c r="D157" i="3"/>
  <c r="D145" i="3"/>
  <c r="D134" i="3"/>
  <c r="D121" i="3"/>
  <c r="D110" i="3"/>
  <c r="D97" i="3"/>
  <c r="D87" i="3"/>
  <c r="D75" i="3"/>
  <c r="D66" i="3"/>
  <c r="B34" i="4"/>
  <c r="D227" i="1"/>
  <c r="D216" i="1"/>
  <c r="D166" i="1"/>
  <c r="D149" i="1"/>
  <c r="D136" i="1"/>
  <c r="D122" i="1"/>
  <c r="D42" i="1"/>
  <c r="D58" i="1"/>
  <c r="D71" i="1"/>
  <c r="D91" i="1"/>
  <c r="I30" i="14"/>
  <c r="H31" i="14"/>
  <c r="I31" i="14"/>
  <c r="H3" i="14"/>
  <c r="O3" i="14"/>
  <c r="Q3" i="14" s="1"/>
  <c r="H4" i="14"/>
  <c r="O4" i="14"/>
  <c r="H5" i="14"/>
  <c r="O5" i="14"/>
  <c r="O6" i="14"/>
  <c r="T6" i="14" s="1"/>
  <c r="I28" i="14"/>
  <c r="I33" i="14" s="1"/>
  <c r="O11" i="14"/>
  <c r="R11" i="14" s="1"/>
  <c r="O20" i="14"/>
  <c r="H30" i="14"/>
  <c r="H21" i="14"/>
  <c r="I21" i="14" s="1"/>
  <c r="O21" i="14"/>
  <c r="D35" i="3"/>
  <c r="D166" i="3"/>
  <c r="D119" i="3"/>
  <c r="D183" i="3"/>
  <c r="D29" i="3"/>
  <c r="D21" i="3"/>
  <c r="D11" i="3"/>
  <c r="D250" i="3"/>
  <c r="D249" i="3"/>
  <c r="D248" i="3"/>
  <c r="D216" i="3"/>
  <c r="D19" i="9"/>
  <c r="J13" i="13"/>
  <c r="N4" i="4"/>
  <c r="U4" i="4" s="1"/>
  <c r="J32" i="9"/>
  <c r="D32" i="9"/>
  <c r="D126" i="10"/>
  <c r="D125" i="10"/>
  <c r="D135" i="10"/>
  <c r="D134" i="10"/>
  <c r="D133" i="10"/>
  <c r="D172" i="10"/>
  <c r="D188" i="10"/>
  <c r="D187" i="10"/>
  <c r="D163" i="10"/>
  <c r="D67" i="10"/>
  <c r="B37" i="2"/>
  <c r="C32" i="9" s="1"/>
  <c r="D38" i="10"/>
  <c r="D20" i="10"/>
  <c r="D206" i="10"/>
  <c r="B41" i="11"/>
  <c r="B36" i="11"/>
  <c r="D4" i="10"/>
  <c r="B19" i="4"/>
  <c r="B20" i="4"/>
  <c r="B18" i="4"/>
  <c r="B38" i="4"/>
  <c r="B37" i="4"/>
  <c r="B30" i="4"/>
  <c r="B29" i="4"/>
  <c r="B28" i="4"/>
  <c r="B27" i="4"/>
  <c r="B24" i="4"/>
  <c r="B26" i="4"/>
  <c r="B25" i="4"/>
  <c r="D221" i="3"/>
  <c r="D220" i="3"/>
  <c r="D198" i="3"/>
  <c r="D197" i="3"/>
  <c r="D176" i="3"/>
  <c r="D175" i="3"/>
  <c r="D152" i="3"/>
  <c r="D151" i="3"/>
  <c r="D128" i="3"/>
  <c r="D127" i="3"/>
  <c r="D117" i="3"/>
  <c r="D105" i="3"/>
  <c r="D104" i="3"/>
  <c r="D82" i="3"/>
  <c r="D81" i="3"/>
  <c r="D72" i="3"/>
  <c r="D60" i="3"/>
  <c r="D59" i="3"/>
  <c r="D45" i="3"/>
  <c r="D44" i="3"/>
  <c r="D42" i="3"/>
  <c r="D41" i="3"/>
  <c r="D5" i="13"/>
  <c r="H5" i="13" s="1"/>
  <c r="D13" i="13"/>
  <c r="H13" i="13" s="1"/>
  <c r="N3" i="4"/>
  <c r="D234" i="3"/>
  <c r="D38" i="3"/>
  <c r="D39" i="3"/>
  <c r="D24" i="3"/>
  <c r="D23" i="1"/>
  <c r="D22" i="1"/>
  <c r="D20" i="1"/>
  <c r="B22" i="2"/>
  <c r="B23" i="2"/>
  <c r="F23" i="2" s="1"/>
  <c r="B24" i="2"/>
  <c r="B25" i="2"/>
  <c r="B26" i="2"/>
  <c r="F26" i="2" s="1"/>
  <c r="B27" i="2"/>
  <c r="B30" i="2"/>
  <c r="B31" i="2"/>
  <c r="B32" i="2"/>
  <c r="B35" i="2"/>
  <c r="B36" i="2"/>
  <c r="B38" i="2"/>
  <c r="B41" i="2"/>
  <c r="D238" i="1"/>
  <c r="D206" i="1"/>
  <c r="D231" i="1"/>
  <c r="D230" i="1"/>
  <c r="D228" i="1"/>
  <c r="D226" i="1"/>
  <c r="D220" i="1"/>
  <c r="D217" i="1"/>
  <c r="D208" i="1"/>
  <c r="D182" i="1"/>
  <c r="D168" i="1"/>
  <c r="D167" i="1"/>
  <c r="D165" i="1"/>
  <c r="D158" i="1"/>
  <c r="D157" i="1"/>
  <c r="D153" i="1"/>
  <c r="D151" i="1"/>
  <c r="D150" i="1"/>
  <c r="D148" i="1"/>
  <c r="D138" i="1"/>
  <c r="D137" i="1"/>
  <c r="D135" i="1"/>
  <c r="D128" i="1"/>
  <c r="D127" i="1"/>
  <c r="D126" i="1"/>
  <c r="D124" i="1"/>
  <c r="D123" i="1"/>
  <c r="D121" i="1"/>
  <c r="D114" i="1"/>
  <c r="D107" i="1"/>
  <c r="D106" i="1"/>
  <c r="D105" i="1"/>
  <c r="D104" i="1"/>
  <c r="D103" i="1"/>
  <c r="D96" i="1"/>
  <c r="D94" i="1"/>
  <c r="D93" i="1"/>
  <c r="D92" i="1"/>
  <c r="D90" i="1"/>
  <c r="D83" i="1"/>
  <c r="D82" i="1"/>
  <c r="D81" i="1"/>
  <c r="D78" i="1"/>
  <c r="D76" i="1"/>
  <c r="D74" i="1"/>
  <c r="D73" i="1"/>
  <c r="D72" i="1"/>
  <c r="D70" i="1"/>
  <c r="D61" i="1"/>
  <c r="D60" i="1"/>
  <c r="D59" i="1"/>
  <c r="D57" i="1"/>
  <c r="D50" i="1"/>
  <c r="D45" i="1"/>
  <c r="D44" i="1"/>
  <c r="D43" i="1"/>
  <c r="D41" i="1"/>
  <c r="D32" i="1"/>
  <c r="D46" i="1"/>
  <c r="D13" i="1"/>
  <c r="D12" i="1"/>
  <c r="D10" i="1"/>
  <c r="B9" i="2"/>
  <c r="F9" i="2" s="1"/>
  <c r="B19" i="2"/>
  <c r="B18" i="2"/>
  <c r="B17" i="2"/>
  <c r="B16" i="2"/>
  <c r="B15" i="2"/>
  <c r="B14" i="2"/>
  <c r="B13" i="2"/>
  <c r="B12" i="2"/>
  <c r="B11" i="2"/>
  <c r="B10" i="2"/>
  <c r="B8" i="2"/>
  <c r="B7" i="2"/>
  <c r="B6" i="2"/>
  <c r="B5" i="2"/>
  <c r="B4" i="2"/>
  <c r="B3" i="2"/>
  <c r="D198" i="10"/>
  <c r="D197" i="10"/>
  <c r="D196" i="10"/>
  <c r="D195" i="10"/>
  <c r="D185" i="10"/>
  <c r="D184" i="10"/>
  <c r="D183" i="10"/>
  <c r="D182" i="10"/>
  <c r="D173" i="10"/>
  <c r="D171" i="10"/>
  <c r="D170" i="10"/>
  <c r="D161" i="10"/>
  <c r="D160" i="10"/>
  <c r="D159" i="10"/>
  <c r="D120" i="10"/>
  <c r="D119" i="10"/>
  <c r="D118" i="10"/>
  <c r="D111" i="10"/>
  <c r="D110" i="10"/>
  <c r="D109" i="10"/>
  <c r="D107" i="10"/>
  <c r="D106" i="10"/>
  <c r="D105" i="10"/>
  <c r="D104" i="10"/>
  <c r="D97" i="10"/>
  <c r="D95" i="10"/>
  <c r="D90" i="10"/>
  <c r="D88" i="10"/>
  <c r="D87" i="10"/>
  <c r="D86" i="10"/>
  <c r="D79" i="10"/>
  <c r="D148" i="10"/>
  <c r="D147" i="10"/>
  <c r="D146" i="10"/>
  <c r="D139" i="10"/>
  <c r="D77" i="10"/>
  <c r="D76" i="10"/>
  <c r="D75" i="10"/>
  <c r="D74" i="10"/>
  <c r="D61" i="10"/>
  <c r="D60" i="10"/>
  <c r="D59" i="10"/>
  <c r="D58" i="10"/>
  <c r="D51" i="10"/>
  <c r="D49" i="10"/>
  <c r="D48" i="10"/>
  <c r="D47" i="10"/>
  <c r="D45" i="10"/>
  <c r="D37" i="10"/>
  <c r="D29" i="10"/>
  <c r="D27" i="10"/>
  <c r="B32" i="11"/>
  <c r="B31" i="11"/>
  <c r="B30" i="11"/>
  <c r="B27" i="11"/>
  <c r="B26" i="11"/>
  <c r="B25" i="11"/>
  <c r="B24" i="11"/>
  <c r="B23" i="11"/>
  <c r="B19" i="11"/>
  <c r="B18" i="11"/>
  <c r="B17" i="11"/>
  <c r="B16" i="11"/>
  <c r="B15" i="11"/>
  <c r="B13" i="11"/>
  <c r="B12" i="11"/>
  <c r="B11" i="11"/>
  <c r="B10" i="11"/>
  <c r="B8" i="11"/>
  <c r="B7" i="11"/>
  <c r="B6" i="11"/>
  <c r="B5" i="11"/>
  <c r="B4" i="11"/>
  <c r="B9" i="11"/>
  <c r="B3" i="11"/>
  <c r="D32" i="13"/>
  <c r="D30" i="13"/>
  <c r="C30" i="4"/>
  <c r="D29" i="13"/>
  <c r="D24" i="13"/>
  <c r="D25" i="13"/>
  <c r="D26" i="13"/>
  <c r="D27" i="13"/>
  <c r="D28" i="13"/>
  <c r="D23" i="13"/>
  <c r="D21" i="13"/>
  <c r="H21" i="13" s="1"/>
  <c r="G21" i="13" s="1"/>
  <c r="D22" i="13"/>
  <c r="D17" i="13"/>
  <c r="D18" i="13"/>
  <c r="D20" i="13"/>
  <c r="D16" i="13"/>
  <c r="D15" i="13"/>
  <c r="D14" i="13"/>
  <c r="D12" i="13"/>
  <c r="D11" i="13"/>
  <c r="D10" i="13"/>
  <c r="D9" i="13"/>
  <c r="D8" i="13"/>
  <c r="D7" i="13"/>
  <c r="D6" i="13"/>
  <c r="D4" i="13"/>
  <c r="D3" i="13"/>
  <c r="D34" i="13"/>
  <c r="D259" i="3"/>
  <c r="D240" i="3"/>
  <c r="D235" i="3"/>
  <c r="D225" i="3"/>
  <c r="D212" i="3"/>
  <c r="D201" i="3"/>
  <c r="D190" i="3"/>
  <c r="D179" i="3"/>
  <c r="D165" i="3"/>
  <c r="D155" i="3"/>
  <c r="D143" i="3"/>
  <c r="D132" i="3"/>
  <c r="D118" i="3"/>
  <c r="D107" i="3"/>
  <c r="D95" i="3"/>
  <c r="D84" i="3"/>
  <c r="D73" i="3"/>
  <c r="D63" i="3"/>
  <c r="D52" i="3"/>
  <c r="D33" i="3"/>
  <c r="D25" i="3"/>
  <c r="D254" i="3"/>
  <c r="D246" i="3"/>
  <c r="D230" i="3"/>
  <c r="D218" i="3"/>
  <c r="D208" i="3"/>
  <c r="D195" i="3"/>
  <c r="D184" i="3"/>
  <c r="D172" i="3"/>
  <c r="D161" i="3"/>
  <c r="D149" i="3"/>
  <c r="D125" i="3"/>
  <c r="D114" i="3"/>
  <c r="D101" i="3"/>
  <c r="D90" i="3"/>
  <c r="D79" i="3"/>
  <c r="D69" i="3"/>
  <c r="D57" i="3"/>
  <c r="D48" i="3"/>
  <c r="D37" i="3"/>
  <c r="D229" i="3"/>
  <c r="D207" i="3"/>
  <c r="D171" i="3"/>
  <c r="D148" i="3"/>
  <c r="D124" i="3"/>
  <c r="D113" i="3"/>
  <c r="D100" i="3"/>
  <c r="D78" i="3"/>
  <c r="D56" i="3"/>
  <c r="D36" i="3"/>
  <c r="D20" i="3"/>
  <c r="D257" i="3"/>
  <c r="D241" i="3"/>
  <c r="D236" i="3"/>
  <c r="D226" i="3"/>
  <c r="D213" i="3"/>
  <c r="D203" i="3"/>
  <c r="D191" i="3"/>
  <c r="D180" i="3"/>
  <c r="D167" i="3"/>
  <c r="D156" i="3"/>
  <c r="D144" i="3"/>
  <c r="D133" i="3"/>
  <c r="D120" i="3"/>
  <c r="D109" i="3"/>
  <c r="D96" i="3"/>
  <c r="D86" i="3"/>
  <c r="D74" i="3"/>
  <c r="D65" i="3"/>
  <c r="D22" i="3"/>
  <c r="D173" i="3"/>
  <c r="D64" i="3"/>
  <c r="D137" i="3"/>
  <c r="D102" i="3"/>
  <c r="D26" i="3"/>
  <c r="D138" i="3"/>
  <c r="D261" i="3"/>
  <c r="D147" i="3"/>
  <c r="D188" i="3"/>
  <c r="D130" i="3"/>
  <c r="D244" i="3"/>
  <c r="D170" i="3"/>
  <c r="D123" i="3"/>
  <c r="D99" i="3"/>
  <c r="D112" i="3"/>
  <c r="D89" i="3"/>
  <c r="D18" i="3"/>
  <c r="D55" i="3"/>
  <c r="D77" i="3"/>
  <c r="D19" i="3"/>
  <c r="D233" i="3"/>
  <c r="D224" i="3"/>
  <c r="D211" i="3"/>
  <c r="D200" i="3"/>
  <c r="D189" i="3"/>
  <c r="D178" i="3"/>
  <c r="D164" i="3"/>
  <c r="D154" i="3"/>
  <c r="D142" i="3"/>
  <c r="D131" i="3"/>
  <c r="D108" i="3"/>
  <c r="D94" i="3"/>
  <c r="D85" i="3"/>
  <c r="D62" i="3"/>
  <c r="D53" i="3"/>
  <c r="D32" i="3"/>
  <c r="D10" i="3"/>
  <c r="D223" i="3"/>
  <c r="D51" i="3"/>
  <c r="D14" i="3"/>
  <c r="D256" i="3"/>
  <c r="D232" i="3"/>
  <c r="D210" i="3"/>
  <c r="D187" i="3"/>
  <c r="D163" i="3"/>
  <c r="D140" i="3"/>
  <c r="D116" i="3"/>
  <c r="D93" i="3"/>
  <c r="D71" i="3"/>
  <c r="D50" i="3"/>
  <c r="D31" i="3"/>
  <c r="D13" i="3"/>
  <c r="D253" i="3"/>
  <c r="D239" i="3"/>
  <c r="D16" i="3"/>
  <c r="D8" i="3"/>
  <c r="B16" i="4"/>
  <c r="B15" i="4"/>
  <c r="B14" i="4"/>
  <c r="B13" i="4"/>
  <c r="E13" i="4" s="1"/>
  <c r="B12" i="4"/>
  <c r="E12" i="4" s="1"/>
  <c r="B11" i="4"/>
  <c r="B10" i="4"/>
  <c r="B8" i="4"/>
  <c r="B7" i="4"/>
  <c r="B6" i="4"/>
  <c r="B5" i="4"/>
  <c r="B4" i="4"/>
  <c r="J34" i="13"/>
  <c r="J33" i="13"/>
  <c r="J32" i="13"/>
  <c r="J30" i="13"/>
  <c r="J29" i="13"/>
  <c r="I29" i="13" s="1"/>
  <c r="J28" i="13"/>
  <c r="J27" i="13"/>
  <c r="J26" i="13"/>
  <c r="J25" i="13"/>
  <c r="J24" i="13"/>
  <c r="J23" i="13"/>
  <c r="J20" i="13"/>
  <c r="J18" i="13"/>
  <c r="J17" i="13"/>
  <c r="J16" i="13"/>
  <c r="J15" i="13"/>
  <c r="J14" i="13"/>
  <c r="J12" i="13"/>
  <c r="J11" i="13"/>
  <c r="H11" i="13" s="1"/>
  <c r="J10" i="13"/>
  <c r="J9" i="13"/>
  <c r="J8" i="13"/>
  <c r="J6" i="13"/>
  <c r="J4" i="13"/>
  <c r="J3" i="13"/>
  <c r="K32" i="13"/>
  <c r="D33" i="13"/>
  <c r="C33" i="13"/>
  <c r="C34" i="13"/>
  <c r="C32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1" i="13"/>
  <c r="C10" i="13"/>
  <c r="C9" i="13"/>
  <c r="C8" i="13"/>
  <c r="C7" i="13"/>
  <c r="C6" i="13"/>
  <c r="C3" i="13"/>
  <c r="L32" i="13"/>
  <c r="G30" i="13"/>
  <c r="H30" i="13" s="1"/>
  <c r="G29" i="13"/>
  <c r="H29" i="13" s="1"/>
  <c r="O29" i="13" s="1"/>
  <c r="U29" i="13" s="1"/>
  <c r="G28" i="13"/>
  <c r="H28" i="13" s="1"/>
  <c r="O28" i="13" s="1"/>
  <c r="G27" i="13"/>
  <c r="H27" i="13" s="1"/>
  <c r="G26" i="13"/>
  <c r="H26" i="13" s="1"/>
  <c r="G24" i="13"/>
  <c r="H24" i="13" s="1"/>
  <c r="G23" i="13"/>
  <c r="H23" i="13" s="1"/>
  <c r="H22" i="13"/>
  <c r="G22" i="13" s="1"/>
  <c r="H18" i="13"/>
  <c r="G18" i="13"/>
  <c r="H15" i="13"/>
  <c r="G15" i="13" s="1"/>
  <c r="H14" i="13"/>
  <c r="G14" i="13"/>
  <c r="H12" i="13"/>
  <c r="O12" i="13" s="1"/>
  <c r="G12" i="13"/>
  <c r="G11" i="13"/>
  <c r="H10" i="13"/>
  <c r="O10" i="13" s="1"/>
  <c r="V10" i="13" s="1"/>
  <c r="H9" i="13"/>
  <c r="G9" i="13"/>
  <c r="H8" i="13"/>
  <c r="G8" i="13"/>
  <c r="H7" i="13"/>
  <c r="G7" i="13"/>
  <c r="H6" i="13"/>
  <c r="G6" i="13"/>
  <c r="H3" i="13"/>
  <c r="G3" i="13"/>
  <c r="J3" i="12"/>
  <c r="J17" i="12"/>
  <c r="J10" i="12"/>
  <c r="J8" i="12"/>
  <c r="J5" i="12"/>
  <c r="J4" i="12"/>
  <c r="K24" i="12"/>
  <c r="D34" i="12"/>
  <c r="D31" i="12"/>
  <c r="D30" i="12"/>
  <c r="D29" i="12"/>
  <c r="D28" i="12"/>
  <c r="D27" i="12"/>
  <c r="D26" i="12"/>
  <c r="D25" i="12"/>
  <c r="D24" i="12"/>
  <c r="D23" i="12"/>
  <c r="F24" i="11"/>
  <c r="D22" i="12"/>
  <c r="D21" i="12"/>
  <c r="D20" i="12"/>
  <c r="C41" i="12"/>
  <c r="C39" i="12"/>
  <c r="C38" i="12"/>
  <c r="C37" i="12"/>
  <c r="C36" i="12"/>
  <c r="C34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D19" i="12"/>
  <c r="D18" i="12"/>
  <c r="D17" i="12"/>
  <c r="D16" i="12"/>
  <c r="D15" i="12"/>
  <c r="D14" i="12"/>
  <c r="D13" i="12"/>
  <c r="D12" i="12"/>
  <c r="D11" i="12"/>
  <c r="D10" i="12"/>
  <c r="D8" i="12"/>
  <c r="D7" i="12"/>
  <c r="D6" i="12"/>
  <c r="D3" i="12"/>
  <c r="C18" i="12"/>
  <c r="C19" i="12"/>
  <c r="J19" i="12"/>
  <c r="H19" i="12"/>
  <c r="J19" i="9"/>
  <c r="C19" i="9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F41" i="12"/>
  <c r="H41" i="12" s="1"/>
  <c r="F40" i="12"/>
  <c r="H40" i="12" s="1"/>
  <c r="F39" i="12"/>
  <c r="H39" i="12" s="1"/>
  <c r="F38" i="12"/>
  <c r="H38" i="12" s="1"/>
  <c r="F37" i="12"/>
  <c r="H37" i="12" s="1"/>
  <c r="F36" i="12"/>
  <c r="H36" i="12" s="1"/>
  <c r="J35" i="12"/>
  <c r="H35" i="12" s="1"/>
  <c r="G35" i="12"/>
  <c r="J34" i="12"/>
  <c r="H34" i="12" s="1"/>
  <c r="G34" i="12" s="1"/>
  <c r="J33" i="12"/>
  <c r="H33" i="12"/>
  <c r="G33" i="12"/>
  <c r="J31" i="12"/>
  <c r="H31" i="12"/>
  <c r="G31" i="12"/>
  <c r="J30" i="12"/>
  <c r="H30" i="12"/>
  <c r="G30" i="12"/>
  <c r="J28" i="12"/>
  <c r="H28" i="12"/>
  <c r="G28" i="12"/>
  <c r="H27" i="12"/>
  <c r="G27" i="12"/>
  <c r="J26" i="12"/>
  <c r="H26" i="12"/>
  <c r="G26" i="12"/>
  <c r="H25" i="12"/>
  <c r="O25" i="12" s="1"/>
  <c r="G25" i="12"/>
  <c r="J24" i="12"/>
  <c r="L24" i="12" s="1"/>
  <c r="H24" i="12"/>
  <c r="G24" i="12"/>
  <c r="J23" i="12"/>
  <c r="H23" i="12"/>
  <c r="G23" i="12"/>
  <c r="J22" i="12"/>
  <c r="J21" i="12"/>
  <c r="H20" i="12"/>
  <c r="J18" i="12"/>
  <c r="H18" i="12"/>
  <c r="G18" i="12"/>
  <c r="J16" i="12"/>
  <c r="H16" i="12"/>
  <c r="G16" i="12"/>
  <c r="J15" i="12"/>
  <c r="H15" i="12" s="1"/>
  <c r="G15" i="12" s="1"/>
  <c r="H14" i="12"/>
  <c r="G14" i="12"/>
  <c r="J13" i="12"/>
  <c r="H13" i="12"/>
  <c r="G13" i="12"/>
  <c r="J12" i="12"/>
  <c r="H12" i="12"/>
  <c r="G12" i="12"/>
  <c r="J11" i="12"/>
  <c r="H11" i="12"/>
  <c r="G11" i="12"/>
  <c r="H10" i="12"/>
  <c r="G10" i="12" s="1"/>
  <c r="J9" i="12"/>
  <c r="H8" i="12"/>
  <c r="G8" i="12"/>
  <c r="J7" i="12"/>
  <c r="H7" i="12"/>
  <c r="G7" i="12"/>
  <c r="J6" i="12"/>
  <c r="H6" i="12"/>
  <c r="G6" i="12"/>
  <c r="H3" i="12"/>
  <c r="C41" i="9"/>
  <c r="C39" i="9"/>
  <c r="C38" i="9"/>
  <c r="C37" i="9"/>
  <c r="F36" i="2"/>
  <c r="J34" i="9"/>
  <c r="H34" i="9" s="1"/>
  <c r="J26" i="9"/>
  <c r="L82" i="5"/>
  <c r="K38" i="4"/>
  <c r="F15" i="2"/>
  <c r="F7" i="11"/>
  <c r="F49" i="11"/>
  <c r="J49" i="11" s="1"/>
  <c r="L49" i="11" s="1"/>
  <c r="F48" i="11"/>
  <c r="J48" i="11" s="1"/>
  <c r="L48" i="11" s="1"/>
  <c r="F47" i="11"/>
  <c r="J47" i="11" s="1"/>
  <c r="L47" i="11" s="1"/>
  <c r="F46" i="11"/>
  <c r="J46" i="11" s="1"/>
  <c r="L46" i="11" s="1"/>
  <c r="F45" i="11"/>
  <c r="J45" i="11" s="1"/>
  <c r="L45" i="11" s="1"/>
  <c r="F44" i="11"/>
  <c r="J44" i="11" s="1"/>
  <c r="L44" i="11" s="1"/>
  <c r="F41" i="11"/>
  <c r="K41" i="11" s="1"/>
  <c r="F38" i="11"/>
  <c r="K38" i="11" s="1"/>
  <c r="F36" i="11"/>
  <c r="K36" i="11" s="1"/>
  <c r="K29" i="12"/>
  <c r="L29" i="12" s="1"/>
  <c r="F32" i="11"/>
  <c r="K32" i="11" s="1"/>
  <c r="F31" i="11"/>
  <c r="K31" i="11" s="1"/>
  <c r="F30" i="11"/>
  <c r="K30" i="11" s="1"/>
  <c r="F27" i="11"/>
  <c r="K27" i="11" s="1"/>
  <c r="K25" i="12" s="1"/>
  <c r="L25" i="12" s="1"/>
  <c r="F26" i="11"/>
  <c r="K26" i="11" s="1"/>
  <c r="F25" i="11"/>
  <c r="K25" i="11" s="1"/>
  <c r="K24" i="11"/>
  <c r="F23" i="11"/>
  <c r="K23" i="11" s="1"/>
  <c r="F19" i="11"/>
  <c r="J19" i="11" s="1"/>
  <c r="F18" i="11"/>
  <c r="J18" i="11" s="1"/>
  <c r="D58" i="5" s="1"/>
  <c r="E54" i="8" s="1"/>
  <c r="F17" i="11"/>
  <c r="J17" i="11" s="1"/>
  <c r="K16" i="12" s="1"/>
  <c r="F16" i="11"/>
  <c r="J16" i="11" s="1"/>
  <c r="F15" i="11"/>
  <c r="J15" i="11" s="1"/>
  <c r="J14" i="11"/>
  <c r="F13" i="11"/>
  <c r="J13" i="11" s="1"/>
  <c r="K13" i="12" s="1"/>
  <c r="F12" i="11"/>
  <c r="J12" i="11" s="1"/>
  <c r="K12" i="12" s="1"/>
  <c r="F11" i="11"/>
  <c r="J11" i="11" s="1"/>
  <c r="K11" i="12" s="1"/>
  <c r="F10" i="11"/>
  <c r="J10" i="11" s="1"/>
  <c r="F8" i="11"/>
  <c r="J8" i="11" s="1"/>
  <c r="K8" i="12" s="1"/>
  <c r="L8" i="12" s="1"/>
  <c r="J7" i="11"/>
  <c r="K7" i="12" s="1"/>
  <c r="F6" i="11"/>
  <c r="J6" i="11" s="1"/>
  <c r="K6" i="12" s="1"/>
  <c r="F3" i="11"/>
  <c r="J3" i="11" s="1"/>
  <c r="D60" i="5" s="1"/>
  <c r="C34" i="9"/>
  <c r="F42" i="2"/>
  <c r="K42" i="2" s="1"/>
  <c r="K34" i="9" s="1"/>
  <c r="J18" i="9"/>
  <c r="H18" i="9" s="1"/>
  <c r="C18" i="9"/>
  <c r="I18" i="9" s="1"/>
  <c r="F24" i="2"/>
  <c r="F17" i="2"/>
  <c r="F16" i="2"/>
  <c r="F14" i="2"/>
  <c r="F13" i="2"/>
  <c r="J13" i="2" s="1"/>
  <c r="F12" i="2"/>
  <c r="F11" i="2"/>
  <c r="F10" i="2"/>
  <c r="J10" i="2" s="1"/>
  <c r="F8" i="2"/>
  <c r="F7" i="2"/>
  <c r="F6" i="2"/>
  <c r="J6" i="2" s="1"/>
  <c r="F5" i="2"/>
  <c r="F4" i="2"/>
  <c r="F3" i="2"/>
  <c r="J3" i="2" s="1"/>
  <c r="F35" i="2"/>
  <c r="K35" i="2" s="1"/>
  <c r="F48" i="2"/>
  <c r="J48" i="2" s="1"/>
  <c r="F49" i="2"/>
  <c r="J49" i="2" s="1"/>
  <c r="F50" i="2"/>
  <c r="J50" i="2" s="1"/>
  <c r="F51" i="2"/>
  <c r="J51" i="2" s="1"/>
  <c r="F52" i="2"/>
  <c r="F47" i="2"/>
  <c r="J47" i="2" s="1"/>
  <c r="L47" i="2" s="1"/>
  <c r="E43" i="2"/>
  <c r="E41" i="2"/>
  <c r="F41" i="2" s="1"/>
  <c r="K41" i="2" s="1"/>
  <c r="J35" i="9"/>
  <c r="H35" i="9" s="1"/>
  <c r="J33" i="9"/>
  <c r="H33" i="9" s="1"/>
  <c r="F19" i="2"/>
  <c r="J19" i="2" s="1"/>
  <c r="F18" i="2"/>
  <c r="F27" i="2"/>
  <c r="K27" i="2" s="1"/>
  <c r="D91" i="5" s="1"/>
  <c r="J17" i="9"/>
  <c r="H17" i="9" s="1"/>
  <c r="C17" i="9"/>
  <c r="I17" i="9" s="1"/>
  <c r="C35" i="9"/>
  <c r="C33" i="9"/>
  <c r="C31" i="9"/>
  <c r="C30" i="9"/>
  <c r="C29" i="9"/>
  <c r="C28" i="9"/>
  <c r="C27" i="9"/>
  <c r="C26" i="9"/>
  <c r="C25" i="9"/>
  <c r="C24" i="9"/>
  <c r="C23" i="9"/>
  <c r="C22" i="9"/>
  <c r="C21" i="9"/>
  <c r="C20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J31" i="9"/>
  <c r="J30" i="9"/>
  <c r="J29" i="9"/>
  <c r="J28" i="9"/>
  <c r="J24" i="9"/>
  <c r="J23" i="9"/>
  <c r="J22" i="9"/>
  <c r="J21" i="9"/>
  <c r="J20" i="9"/>
  <c r="H20" i="9" s="1"/>
  <c r="G20" i="9" s="1"/>
  <c r="J16" i="9"/>
  <c r="J15" i="9"/>
  <c r="H15" i="9" s="1"/>
  <c r="J14" i="9"/>
  <c r="J13" i="9"/>
  <c r="J12" i="9"/>
  <c r="J11" i="9"/>
  <c r="J10" i="9"/>
  <c r="H10" i="9" s="1"/>
  <c r="J9" i="9"/>
  <c r="J8" i="9"/>
  <c r="J7" i="9"/>
  <c r="H7" i="9" s="1"/>
  <c r="J6" i="9"/>
  <c r="J5" i="9"/>
  <c r="J4" i="9"/>
  <c r="J3" i="9"/>
  <c r="H3" i="9" s="1"/>
  <c r="O3" i="9" s="1"/>
  <c r="W3" i="9" s="1"/>
  <c r="L41" i="9"/>
  <c r="F41" i="9"/>
  <c r="H41" i="9" s="1"/>
  <c r="F40" i="9"/>
  <c r="H40" i="9" s="1"/>
  <c r="F39" i="9"/>
  <c r="H39" i="9" s="1"/>
  <c r="F38" i="9"/>
  <c r="H38" i="9" s="1"/>
  <c r="F37" i="9"/>
  <c r="H37" i="9" s="1"/>
  <c r="O37" i="9" s="1"/>
  <c r="F36" i="9"/>
  <c r="H36" i="9" s="1"/>
  <c r="I36" i="9" s="1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16" i="9"/>
  <c r="G16" i="9"/>
  <c r="G15" i="9"/>
  <c r="H14" i="9"/>
  <c r="G14" i="9"/>
  <c r="H13" i="9"/>
  <c r="G13" i="9"/>
  <c r="H12" i="9"/>
  <c r="G12" i="9"/>
  <c r="H11" i="9"/>
  <c r="G11" i="9"/>
  <c r="H9" i="9"/>
  <c r="G9" i="9"/>
  <c r="H8" i="9"/>
  <c r="G8" i="9" s="1"/>
  <c r="G7" i="9"/>
  <c r="H6" i="9"/>
  <c r="G6" i="9"/>
  <c r="H5" i="9"/>
  <c r="G5" i="9"/>
  <c r="H4" i="9"/>
  <c r="G4" i="9"/>
  <c r="G3" i="9"/>
  <c r="G14" i="7"/>
  <c r="K7" i="7"/>
  <c r="J18" i="2"/>
  <c r="J16" i="2"/>
  <c r="K18" i="9" s="1"/>
  <c r="J14" i="2"/>
  <c r="J12" i="2"/>
  <c r="J11" i="2"/>
  <c r="J9" i="2"/>
  <c r="J8" i="2"/>
  <c r="J7" i="2"/>
  <c r="K6" i="9"/>
  <c r="J5" i="2"/>
  <c r="J4" i="2"/>
  <c r="I24" i="4"/>
  <c r="K24" i="4" s="1"/>
  <c r="I25" i="4"/>
  <c r="I26" i="4"/>
  <c r="I27" i="4"/>
  <c r="K27" i="4" s="1"/>
  <c r="I28" i="4"/>
  <c r="E33" i="4"/>
  <c r="I33" i="4" s="1"/>
  <c r="K33" i="4" s="1"/>
  <c r="D10" i="5" s="1"/>
  <c r="E37" i="4"/>
  <c r="F38" i="2"/>
  <c r="K36" i="2"/>
  <c r="K14" i="7"/>
  <c r="M14" i="7" s="1"/>
  <c r="E24" i="4"/>
  <c r="E25" i="4"/>
  <c r="E27" i="4"/>
  <c r="E28" i="4"/>
  <c r="E29" i="4"/>
  <c r="E26" i="4"/>
  <c r="E14" i="4"/>
  <c r="I15" i="4"/>
  <c r="E15" i="4"/>
  <c r="I19" i="4"/>
  <c r="I20" i="4"/>
  <c r="K20" i="4" s="1"/>
  <c r="K22" i="13" s="1"/>
  <c r="E18" i="4"/>
  <c r="E19" i="4"/>
  <c r="E20" i="4"/>
  <c r="I18" i="4"/>
  <c r="I17" i="4"/>
  <c r="I16" i="4"/>
  <c r="K16" i="4" s="1"/>
  <c r="I14" i="4"/>
  <c r="I13" i="4"/>
  <c r="K13" i="4" s="1"/>
  <c r="I12" i="4"/>
  <c r="I10" i="4"/>
  <c r="I9" i="4"/>
  <c r="I7" i="4"/>
  <c r="E8" i="4"/>
  <c r="I8" i="4" s="1"/>
  <c r="E7" i="4"/>
  <c r="E6" i="4"/>
  <c r="E5" i="4"/>
  <c r="E4" i="4"/>
  <c r="K35" i="7"/>
  <c r="G9" i="7"/>
  <c r="G6" i="7"/>
  <c r="G31" i="7"/>
  <c r="G30" i="7"/>
  <c r="K27" i="7"/>
  <c r="G26" i="7"/>
  <c r="K26" i="7"/>
  <c r="G25" i="7"/>
  <c r="G20" i="7"/>
  <c r="K20" i="7" s="1"/>
  <c r="G19" i="7"/>
  <c r="K19" i="7" s="1"/>
  <c r="G18" i="7"/>
  <c r="K18" i="7" s="1"/>
  <c r="G17" i="7"/>
  <c r="K17" i="7" s="1"/>
  <c r="K8" i="7"/>
  <c r="M18" i="7"/>
  <c r="M20" i="7"/>
  <c r="M17" i="7"/>
  <c r="K9" i="7"/>
  <c r="K6" i="7"/>
  <c r="K5" i="7"/>
  <c r="K4" i="7"/>
  <c r="K3" i="7"/>
  <c r="M19" i="7"/>
  <c r="M42" i="7"/>
  <c r="M35" i="7"/>
  <c r="D19" i="5" s="1"/>
  <c r="M64" i="5" s="1"/>
  <c r="N64" i="5" s="1"/>
  <c r="M4" i="7"/>
  <c r="K4" i="14" s="1"/>
  <c r="L4" i="14" s="1"/>
  <c r="M5" i="7"/>
  <c r="M6" i="7"/>
  <c r="M7" i="7"/>
  <c r="M8" i="7"/>
  <c r="K8" i="14" s="1"/>
  <c r="M9" i="7"/>
  <c r="M10" i="7"/>
  <c r="K3" i="14"/>
  <c r="L3" i="14" s="1"/>
  <c r="M27" i="7"/>
  <c r="K43" i="7"/>
  <c r="M43" i="7" s="1"/>
  <c r="K31" i="7"/>
  <c r="M31" i="7" s="1"/>
  <c r="K30" i="7"/>
  <c r="M30" i="7" s="1"/>
  <c r="K22" i="14" s="1"/>
  <c r="L22" i="14" s="1"/>
  <c r="M26" i="7"/>
  <c r="K25" i="7"/>
  <c r="M25" i="7" s="1"/>
  <c r="D85" i="5"/>
  <c r="E24" i="8" s="1"/>
  <c r="K29" i="4"/>
  <c r="K28" i="4"/>
  <c r="K26" i="4"/>
  <c r="K25" i="4"/>
  <c r="K19" i="4"/>
  <c r="D4" i="5" s="1"/>
  <c r="E5" i="8" s="1"/>
  <c r="K18" i="4"/>
  <c r="K20" i="13" s="1"/>
  <c r="L20" i="13" s="1"/>
  <c r="K17" i="4"/>
  <c r="K15" i="4"/>
  <c r="K14" i="4"/>
  <c r="K12" i="4"/>
  <c r="K10" i="4"/>
  <c r="K9" i="4"/>
  <c r="K8" i="4"/>
  <c r="K7" i="4"/>
  <c r="K38" i="2"/>
  <c r="J15" i="2"/>
  <c r="J17" i="2"/>
  <c r="D42" i="5"/>
  <c r="M14" i="5" s="1"/>
  <c r="D41" i="5"/>
  <c r="M7" i="5" s="1"/>
  <c r="D31" i="5"/>
  <c r="D29" i="5"/>
  <c r="M3" i="5" s="1"/>
  <c r="D9" i="5"/>
  <c r="E9" i="5"/>
  <c r="E29" i="5"/>
  <c r="E31" i="5"/>
  <c r="E41" i="5"/>
  <c r="E42" i="5"/>
  <c r="E100" i="5"/>
  <c r="F30" i="2"/>
  <c r="K30" i="2" s="1"/>
  <c r="D34" i="5"/>
  <c r="E42" i="8" s="1"/>
  <c r="E68" i="8"/>
  <c r="D84" i="5"/>
  <c r="E23" i="8" s="1"/>
  <c r="D40" i="5"/>
  <c r="E65" i="8" s="1"/>
  <c r="D77" i="5"/>
  <c r="D26" i="5"/>
  <c r="I6" i="4"/>
  <c r="I5" i="4"/>
  <c r="K5" i="4" s="1"/>
  <c r="L51" i="2"/>
  <c r="L50" i="2"/>
  <c r="L49" i="2"/>
  <c r="L48" i="2"/>
  <c r="F43" i="2"/>
  <c r="K43" i="2" s="1"/>
  <c r="F32" i="2"/>
  <c r="K32" i="2" s="1"/>
  <c r="K28" i="9" s="1"/>
  <c r="F31" i="2"/>
  <c r="K31" i="2" s="1"/>
  <c r="K26" i="2"/>
  <c r="F25" i="2"/>
  <c r="K25" i="2" s="1"/>
  <c r="K24" i="2"/>
  <c r="K23" i="2"/>
  <c r="F22" i="2"/>
  <c r="K22" i="2" s="1"/>
  <c r="R5" i="16" l="1"/>
  <c r="U5" i="14"/>
  <c r="S5" i="14"/>
  <c r="O41" i="9"/>
  <c r="G41" i="9"/>
  <c r="O42" i="9"/>
  <c r="I42" i="9"/>
  <c r="G42" i="9"/>
  <c r="G32" i="13"/>
  <c r="I35" i="13"/>
  <c r="G35" i="13"/>
  <c r="O53" i="13"/>
  <c r="I53" i="13"/>
  <c r="V54" i="13"/>
  <c r="U54" i="13"/>
  <c r="T54" i="13"/>
  <c r="S54" i="13"/>
  <c r="R54" i="13"/>
  <c r="Q54" i="13"/>
  <c r="Z54" i="13" s="1"/>
  <c r="I21" i="13"/>
  <c r="I22" i="13"/>
  <c r="G33" i="13"/>
  <c r="H33" i="13" s="1"/>
  <c r="H16" i="13"/>
  <c r="G16" i="13" s="1"/>
  <c r="H20" i="13"/>
  <c r="G20" i="13" s="1"/>
  <c r="H17" i="13"/>
  <c r="G17" i="13" s="1"/>
  <c r="H19" i="13"/>
  <c r="O47" i="13"/>
  <c r="I47" i="13"/>
  <c r="O46" i="13"/>
  <c r="I46" i="13"/>
  <c r="O45" i="13"/>
  <c r="I45" i="13"/>
  <c r="O44" i="13"/>
  <c r="I44" i="13"/>
  <c r="O43" i="13"/>
  <c r="I43" i="13"/>
  <c r="O41" i="13"/>
  <c r="I41" i="13"/>
  <c r="O40" i="13"/>
  <c r="I40" i="13"/>
  <c r="O48" i="13"/>
  <c r="I48" i="13"/>
  <c r="O52" i="13"/>
  <c r="I52" i="13"/>
  <c r="O39" i="13"/>
  <c r="I39" i="13"/>
  <c r="O38" i="13"/>
  <c r="I38" i="13"/>
  <c r="O37" i="13"/>
  <c r="I37" i="13"/>
  <c r="O36" i="13"/>
  <c r="I36" i="13"/>
  <c r="O35" i="13"/>
  <c r="O42" i="13"/>
  <c r="I42" i="13"/>
  <c r="O49" i="13"/>
  <c r="I49" i="13"/>
  <c r="O50" i="13"/>
  <c r="I50" i="13"/>
  <c r="O51" i="13"/>
  <c r="I51" i="13"/>
  <c r="K49" i="13"/>
  <c r="L49" i="13" s="1"/>
  <c r="K58" i="4"/>
  <c r="G34" i="13"/>
  <c r="H34" i="13" s="1"/>
  <c r="G25" i="13"/>
  <c r="H25" i="13" s="1"/>
  <c r="H32" i="13"/>
  <c r="G31" i="13"/>
  <c r="H31" i="13" s="1"/>
  <c r="O31" i="13" s="1"/>
  <c r="G19" i="13"/>
  <c r="L34" i="13"/>
  <c r="K4" i="17"/>
  <c r="L4" i="17" s="1"/>
  <c r="L8" i="17" s="1"/>
  <c r="L26" i="17" s="1"/>
  <c r="R4" i="16"/>
  <c r="H22" i="14"/>
  <c r="O23" i="14"/>
  <c r="I23" i="14"/>
  <c r="G23" i="14"/>
  <c r="E59" i="8"/>
  <c r="M77" i="5"/>
  <c r="N77" i="5" s="1"/>
  <c r="E64" i="5"/>
  <c r="H29" i="12"/>
  <c r="F59" i="8"/>
  <c r="Y37" i="9"/>
  <c r="X37" i="9"/>
  <c r="W37" i="9"/>
  <c r="V37" i="9"/>
  <c r="U37" i="9"/>
  <c r="T37" i="9"/>
  <c r="S37" i="9"/>
  <c r="R37" i="9"/>
  <c r="H32" i="9"/>
  <c r="O6" i="17"/>
  <c r="I3" i="17"/>
  <c r="O22" i="17"/>
  <c r="O20" i="17"/>
  <c r="I20" i="17"/>
  <c r="O21" i="17"/>
  <c r="I21" i="17"/>
  <c r="O23" i="17"/>
  <c r="O12" i="17"/>
  <c r="E10" i="15" s="1"/>
  <c r="I12" i="17"/>
  <c r="I10" i="15"/>
  <c r="I13" i="17"/>
  <c r="O14" i="17"/>
  <c r="I14" i="17"/>
  <c r="O15" i="17"/>
  <c r="G7" i="17"/>
  <c r="G5" i="17"/>
  <c r="O3" i="17"/>
  <c r="M15" i="5"/>
  <c r="E10" i="8"/>
  <c r="E101" i="5"/>
  <c r="K26" i="12"/>
  <c r="D92" i="5"/>
  <c r="K27" i="12"/>
  <c r="L27" i="12" s="1"/>
  <c r="M58" i="5"/>
  <c r="K28" i="12"/>
  <c r="D72" i="5"/>
  <c r="K31" i="12"/>
  <c r="K18" i="12"/>
  <c r="D16" i="5"/>
  <c r="K19" i="12"/>
  <c r="D45" i="5"/>
  <c r="K22" i="12"/>
  <c r="D90" i="5"/>
  <c r="K23" i="12"/>
  <c r="D5" i="5"/>
  <c r="E6" i="8" s="1"/>
  <c r="K30" i="12"/>
  <c r="D11" i="5"/>
  <c r="E34" i="8"/>
  <c r="M21" i="5"/>
  <c r="E20" i="8"/>
  <c r="M23" i="5"/>
  <c r="E39" i="8"/>
  <c r="M6" i="5"/>
  <c r="N6" i="5" s="1"/>
  <c r="E70" i="8"/>
  <c r="M25" i="5"/>
  <c r="N25" i="5" s="1"/>
  <c r="K14" i="14"/>
  <c r="D95" i="5"/>
  <c r="L13" i="14"/>
  <c r="L14" i="14"/>
  <c r="I14" i="14"/>
  <c r="O14" i="14"/>
  <c r="W14" i="14" s="1"/>
  <c r="I13" i="14"/>
  <c r="O13" i="14"/>
  <c r="W13" i="14" s="1"/>
  <c r="O17" i="14"/>
  <c r="W17" i="14" s="1"/>
  <c r="G17" i="14"/>
  <c r="W18" i="14"/>
  <c r="R18" i="14"/>
  <c r="E19" i="5"/>
  <c r="K15" i="14"/>
  <c r="L15" i="14" s="1"/>
  <c r="K11" i="14"/>
  <c r="L11" i="14" s="1"/>
  <c r="D93" i="5"/>
  <c r="D63" i="5"/>
  <c r="E60" i="8" s="1"/>
  <c r="F60" i="8" s="1"/>
  <c r="K19" i="14"/>
  <c r="L19" i="14" s="1"/>
  <c r="D94" i="5"/>
  <c r="K18" i="14"/>
  <c r="L18" i="14" s="1"/>
  <c r="D47" i="5"/>
  <c r="K17" i="14"/>
  <c r="L17" i="14" s="1"/>
  <c r="D20" i="5"/>
  <c r="K16" i="14"/>
  <c r="L16" i="14" s="1"/>
  <c r="I15" i="14"/>
  <c r="N15" i="5"/>
  <c r="N3" i="5"/>
  <c r="E37" i="8"/>
  <c r="N7" i="5"/>
  <c r="E66" i="8"/>
  <c r="N14" i="5"/>
  <c r="E67" i="8"/>
  <c r="M40" i="5"/>
  <c r="E56" i="8"/>
  <c r="F34" i="8"/>
  <c r="F37" i="8"/>
  <c r="F39" i="8"/>
  <c r="F42" i="8"/>
  <c r="F54" i="8"/>
  <c r="F56" i="8"/>
  <c r="F70" i="8"/>
  <c r="F10" i="8"/>
  <c r="F5" i="8"/>
  <c r="F6" i="8"/>
  <c r="F20" i="8"/>
  <c r="F23" i="8"/>
  <c r="F24" i="8"/>
  <c r="F68" i="8"/>
  <c r="F67" i="8"/>
  <c r="F66" i="8"/>
  <c r="F65" i="8"/>
  <c r="R21" i="14"/>
  <c r="S21" i="14"/>
  <c r="U4" i="14"/>
  <c r="R4" i="14"/>
  <c r="R10" i="13"/>
  <c r="T10" i="13"/>
  <c r="S10" i="13"/>
  <c r="T29" i="13"/>
  <c r="S29" i="13"/>
  <c r="S31" i="13"/>
  <c r="K9" i="13"/>
  <c r="L9" i="13" s="1"/>
  <c r="K17" i="13"/>
  <c r="L17" i="13" s="1"/>
  <c r="I34" i="4"/>
  <c r="K34" i="4" s="1"/>
  <c r="C31" i="13"/>
  <c r="I31" i="13"/>
  <c r="J52" i="12"/>
  <c r="F37" i="11"/>
  <c r="K37" i="11" s="1"/>
  <c r="D35" i="5" s="1"/>
  <c r="C32" i="12"/>
  <c r="G20" i="12"/>
  <c r="O20" i="12"/>
  <c r="H17" i="12"/>
  <c r="G17" i="12" s="1"/>
  <c r="G32" i="9"/>
  <c r="D13" i="5"/>
  <c r="M46" i="5" s="1"/>
  <c r="N46" i="5" s="1"/>
  <c r="N40" i="5"/>
  <c r="K19" i="9"/>
  <c r="E45" i="5"/>
  <c r="K6" i="13"/>
  <c r="L6" i="13" s="1"/>
  <c r="D6" i="5"/>
  <c r="D52" i="5"/>
  <c r="D33" i="5"/>
  <c r="K15" i="12"/>
  <c r="D15" i="5"/>
  <c r="I10" i="9"/>
  <c r="G10" i="9"/>
  <c r="K21" i="12"/>
  <c r="D53" i="5"/>
  <c r="K9" i="14"/>
  <c r="D54" i="5"/>
  <c r="D46" i="5"/>
  <c r="E71" i="8" s="1"/>
  <c r="F71" i="8" s="1"/>
  <c r="K10" i="14"/>
  <c r="L10" i="14" s="1"/>
  <c r="D79" i="5"/>
  <c r="K12" i="14"/>
  <c r="K20" i="14"/>
  <c r="L20" i="14" s="1"/>
  <c r="K21" i="14"/>
  <c r="L21" i="14" s="1"/>
  <c r="K6" i="14"/>
  <c r="L6" i="14" s="1"/>
  <c r="K7" i="14"/>
  <c r="K14" i="12"/>
  <c r="D61" i="5"/>
  <c r="E57" i="8" s="1"/>
  <c r="F57" i="8" s="1"/>
  <c r="V20" i="14"/>
  <c r="G30" i="14" s="1"/>
  <c r="U20" i="14"/>
  <c r="F30" i="14" s="1"/>
  <c r="E30" i="14"/>
  <c r="S20" i="14"/>
  <c r="R20" i="14"/>
  <c r="C30" i="14" s="1"/>
  <c r="B28" i="14"/>
  <c r="V21" i="14"/>
  <c r="U21" i="14"/>
  <c r="T21" i="14"/>
  <c r="L7" i="14"/>
  <c r="H7" i="14"/>
  <c r="L8" i="14"/>
  <c r="H8" i="14"/>
  <c r="L9" i="14"/>
  <c r="H9" i="14"/>
  <c r="I10" i="14"/>
  <c r="G10" i="14"/>
  <c r="O12" i="14"/>
  <c r="R12" i="14" s="1"/>
  <c r="C29" i="14" s="1"/>
  <c r="L12" i="14"/>
  <c r="I12" i="14"/>
  <c r="G12" i="14"/>
  <c r="O10" i="14"/>
  <c r="T10" i="14" s="1"/>
  <c r="E29" i="14" s="1"/>
  <c r="O13" i="13"/>
  <c r="G13" i="13"/>
  <c r="O5" i="13"/>
  <c r="G5" i="13"/>
  <c r="G21" i="14"/>
  <c r="D30" i="14"/>
  <c r="G20" i="14"/>
  <c r="I20" i="14"/>
  <c r="G11" i="14"/>
  <c r="I11" i="14"/>
  <c r="I7" i="14"/>
  <c r="I6" i="14"/>
  <c r="G5" i="14"/>
  <c r="I5" i="14"/>
  <c r="G4" i="14"/>
  <c r="I4" i="14"/>
  <c r="G3" i="14"/>
  <c r="I3" i="14"/>
  <c r="D17" i="5"/>
  <c r="D55" i="5"/>
  <c r="E51" i="8" s="1"/>
  <c r="F51" i="8" s="1"/>
  <c r="E69" i="8"/>
  <c r="F69" i="8" s="1"/>
  <c r="E54" i="5"/>
  <c r="K32" i="9"/>
  <c r="C4" i="13"/>
  <c r="I4" i="4"/>
  <c r="K4" i="4" s="1"/>
  <c r="I32" i="9"/>
  <c r="O32" i="9"/>
  <c r="L32" i="9"/>
  <c r="C12" i="13"/>
  <c r="I11" i="4"/>
  <c r="K11" i="4" s="1"/>
  <c r="C13" i="13"/>
  <c r="I13" i="13" s="1"/>
  <c r="Q3" i="4"/>
  <c r="U3" i="4" s="1"/>
  <c r="I3" i="13"/>
  <c r="O3" i="13"/>
  <c r="I6" i="13"/>
  <c r="O6" i="13"/>
  <c r="I7" i="13"/>
  <c r="O7" i="13"/>
  <c r="I8" i="13"/>
  <c r="O8" i="13"/>
  <c r="I9" i="13"/>
  <c r="O9" i="13"/>
  <c r="I11" i="13"/>
  <c r="O11" i="13"/>
  <c r="I14" i="13"/>
  <c r="O14" i="13"/>
  <c r="I15" i="13"/>
  <c r="O15" i="13"/>
  <c r="T15" i="13" s="1"/>
  <c r="I16" i="13"/>
  <c r="O16" i="13"/>
  <c r="I17" i="13"/>
  <c r="O17" i="13"/>
  <c r="I18" i="13"/>
  <c r="O18" i="13"/>
  <c r="V18" i="13" s="1"/>
  <c r="I19" i="13"/>
  <c r="O19" i="13"/>
  <c r="W19" i="13" s="1"/>
  <c r="I20" i="13"/>
  <c r="O20" i="13"/>
  <c r="O21" i="13"/>
  <c r="X21" i="13" s="1"/>
  <c r="O22" i="13"/>
  <c r="I23" i="13"/>
  <c r="O23" i="13"/>
  <c r="S23" i="13" s="1"/>
  <c r="I24" i="13"/>
  <c r="O24" i="13"/>
  <c r="S24" i="13" s="1"/>
  <c r="I25" i="13"/>
  <c r="O25" i="13"/>
  <c r="T25" i="13" s="1"/>
  <c r="F62" i="13" s="1"/>
  <c r="I26" i="13"/>
  <c r="O26" i="13"/>
  <c r="U26" i="13" s="1"/>
  <c r="I27" i="13"/>
  <c r="O27" i="13"/>
  <c r="I28" i="13"/>
  <c r="R28" i="13"/>
  <c r="V29" i="13"/>
  <c r="I30" i="13"/>
  <c r="O30" i="13"/>
  <c r="I32" i="13"/>
  <c r="O32" i="13"/>
  <c r="U32" i="13" s="1"/>
  <c r="H4" i="13"/>
  <c r="I12" i="13"/>
  <c r="W3" i="4"/>
  <c r="K13" i="13" s="1"/>
  <c r="L13" i="13" s="1"/>
  <c r="W4" i="4"/>
  <c r="K5" i="13" s="1"/>
  <c r="L5" i="13" s="1"/>
  <c r="Q4" i="4"/>
  <c r="L36" i="12"/>
  <c r="L37" i="12"/>
  <c r="L38" i="12"/>
  <c r="L39" i="12"/>
  <c r="L40" i="12"/>
  <c r="L41" i="12"/>
  <c r="G3" i="12"/>
  <c r="O3" i="12"/>
  <c r="W3" i="12" s="1"/>
  <c r="L28" i="12"/>
  <c r="L26" i="12"/>
  <c r="L18" i="12"/>
  <c r="D217" i="3"/>
  <c r="D185" i="3"/>
  <c r="D136" i="3"/>
  <c r="D91" i="3"/>
  <c r="K18" i="13"/>
  <c r="L18" i="13" s="1"/>
  <c r="Z18" i="13" s="1"/>
  <c r="L33" i="13"/>
  <c r="D106" i="5"/>
  <c r="K30" i="13"/>
  <c r="L30" i="13" s="1"/>
  <c r="K24" i="13"/>
  <c r="L24" i="13" s="1"/>
  <c r="Z24" i="13" s="1"/>
  <c r="K25" i="13"/>
  <c r="K27" i="13"/>
  <c r="L27" i="13" s="1"/>
  <c r="K28" i="13"/>
  <c r="L28" i="13" s="1"/>
  <c r="K26" i="13"/>
  <c r="L26" i="13" s="1"/>
  <c r="K23" i="13"/>
  <c r="L23" i="13" s="1"/>
  <c r="K16" i="13"/>
  <c r="L16" i="13" s="1"/>
  <c r="K19" i="13"/>
  <c r="L19" i="13" s="1"/>
  <c r="Z19" i="13" s="1"/>
  <c r="K21" i="13"/>
  <c r="L21" i="13" s="1"/>
  <c r="Z21" i="13" s="1"/>
  <c r="K15" i="13"/>
  <c r="L15" i="13" s="1"/>
  <c r="K10" i="13"/>
  <c r="L10" i="13" s="1"/>
  <c r="K11" i="13"/>
  <c r="L11" i="13" s="1"/>
  <c r="K14" i="13"/>
  <c r="L14" i="13" s="1"/>
  <c r="K8" i="13"/>
  <c r="L8" i="13" s="1"/>
  <c r="Q8" i="13" s="1"/>
  <c r="Z8" i="13" s="1"/>
  <c r="X6" i="13"/>
  <c r="I10" i="13"/>
  <c r="G10" i="13"/>
  <c r="Z10" i="13"/>
  <c r="Z23" i="13"/>
  <c r="Z25" i="13"/>
  <c r="S30" i="13"/>
  <c r="E63" i="13" s="1"/>
  <c r="D108" i="5"/>
  <c r="E76" i="8" s="1"/>
  <c r="F76" i="8" s="1"/>
  <c r="K34" i="12"/>
  <c r="L23" i="12"/>
  <c r="K20" i="12"/>
  <c r="L20" i="12" s="1"/>
  <c r="L19" i="12"/>
  <c r="K17" i="12"/>
  <c r="L17" i="12" s="1"/>
  <c r="L16" i="12"/>
  <c r="L15" i="12"/>
  <c r="L14" i="12"/>
  <c r="L13" i="12"/>
  <c r="L12" i="12"/>
  <c r="L11" i="12"/>
  <c r="D57" i="5"/>
  <c r="E53" i="8" s="1"/>
  <c r="F53" i="8" s="1"/>
  <c r="K10" i="12"/>
  <c r="L10" i="12" s="1"/>
  <c r="L7" i="12"/>
  <c r="L6" i="12"/>
  <c r="K3" i="12"/>
  <c r="E60" i="5"/>
  <c r="L21" i="12"/>
  <c r="H21" i="12"/>
  <c r="G21" i="12" s="1"/>
  <c r="L22" i="12"/>
  <c r="H22" i="12"/>
  <c r="G22" i="12" s="1"/>
  <c r="H19" i="9"/>
  <c r="L19" i="9"/>
  <c r="L3" i="12"/>
  <c r="M84" i="5"/>
  <c r="N84" i="5" s="1"/>
  <c r="E108" i="5"/>
  <c r="O19" i="12"/>
  <c r="W19" i="12" s="1"/>
  <c r="I19" i="12"/>
  <c r="G19" i="12"/>
  <c r="I3" i="12"/>
  <c r="O6" i="12"/>
  <c r="I6" i="12"/>
  <c r="O7" i="12"/>
  <c r="T7" i="12" s="1"/>
  <c r="I7" i="12"/>
  <c r="O8" i="12"/>
  <c r="I8" i="12"/>
  <c r="O10" i="12"/>
  <c r="I10" i="12"/>
  <c r="O11" i="12"/>
  <c r="U11" i="12" s="1"/>
  <c r="I11" i="12"/>
  <c r="O12" i="12"/>
  <c r="I12" i="12"/>
  <c r="O13" i="12"/>
  <c r="I13" i="12"/>
  <c r="O14" i="12"/>
  <c r="Y14" i="12" s="1"/>
  <c r="I14" i="12"/>
  <c r="O15" i="12"/>
  <c r="T15" i="12" s="1"/>
  <c r="I15" i="12"/>
  <c r="O16" i="12"/>
  <c r="I16" i="12"/>
  <c r="O17" i="12"/>
  <c r="U17" i="12" s="1"/>
  <c r="I17" i="12"/>
  <c r="O18" i="12"/>
  <c r="X18" i="12" s="1"/>
  <c r="I18" i="12"/>
  <c r="S20" i="12"/>
  <c r="I20" i="12"/>
  <c r="O21" i="12"/>
  <c r="I21" i="12"/>
  <c r="O22" i="12"/>
  <c r="I22" i="12"/>
  <c r="O23" i="12"/>
  <c r="U23" i="12" s="1"/>
  <c r="I23" i="12"/>
  <c r="O24" i="12"/>
  <c r="I24" i="12"/>
  <c r="I25" i="12"/>
  <c r="O26" i="12"/>
  <c r="S26" i="12" s="1"/>
  <c r="I26" i="12"/>
  <c r="O27" i="12"/>
  <c r="I27" i="12"/>
  <c r="O28" i="12"/>
  <c r="I28" i="12"/>
  <c r="I29" i="12"/>
  <c r="O30" i="12"/>
  <c r="I30" i="12"/>
  <c r="L30" i="12"/>
  <c r="O31" i="12"/>
  <c r="I31" i="12"/>
  <c r="L31" i="12"/>
  <c r="O33" i="12"/>
  <c r="I33" i="12"/>
  <c r="L33" i="12"/>
  <c r="O34" i="12"/>
  <c r="V34" i="12" s="1"/>
  <c r="G53" i="12" s="1"/>
  <c r="I34" i="12"/>
  <c r="L34" i="12"/>
  <c r="O35" i="12"/>
  <c r="I35" i="12"/>
  <c r="L35" i="12"/>
  <c r="O36" i="12"/>
  <c r="I36" i="12"/>
  <c r="G36" i="12"/>
  <c r="O37" i="12"/>
  <c r="I37" i="12"/>
  <c r="G37" i="12"/>
  <c r="O38" i="12"/>
  <c r="I38" i="12"/>
  <c r="G38" i="12"/>
  <c r="O39" i="12"/>
  <c r="I39" i="12"/>
  <c r="G39" i="12"/>
  <c r="O40" i="12"/>
  <c r="I40" i="12"/>
  <c r="G40" i="12"/>
  <c r="O41" i="12"/>
  <c r="I41" i="12"/>
  <c r="G41" i="12"/>
  <c r="I33" i="9"/>
  <c r="G33" i="9"/>
  <c r="I35" i="9"/>
  <c r="G35" i="9"/>
  <c r="O35" i="9"/>
  <c r="M82" i="5"/>
  <c r="N82" i="5" s="1"/>
  <c r="I34" i="9"/>
  <c r="O34" i="9"/>
  <c r="V34" i="9" s="1"/>
  <c r="G34" i="9"/>
  <c r="L34" i="9"/>
  <c r="E57" i="5"/>
  <c r="M33" i="5"/>
  <c r="E58" i="5"/>
  <c r="M34" i="5"/>
  <c r="N33" i="5"/>
  <c r="N34" i="5"/>
  <c r="K6" i="4"/>
  <c r="I30" i="4"/>
  <c r="K30" i="4" s="1"/>
  <c r="E30" i="4"/>
  <c r="D25" i="5"/>
  <c r="D3" i="5"/>
  <c r="E4" i="8" s="1"/>
  <c r="F4" i="8" s="1"/>
  <c r="D78" i="5"/>
  <c r="O18" i="9"/>
  <c r="G18" i="9"/>
  <c r="L28" i="9"/>
  <c r="M50" i="5"/>
  <c r="N50" i="5" s="1"/>
  <c r="E91" i="5"/>
  <c r="L37" i="9"/>
  <c r="L38" i="9"/>
  <c r="L39" i="9"/>
  <c r="L40" i="9"/>
  <c r="E46" i="5"/>
  <c r="M63" i="5"/>
  <c r="N63" i="5"/>
  <c r="I12" i="9"/>
  <c r="I13" i="9"/>
  <c r="I14" i="9"/>
  <c r="I15" i="9"/>
  <c r="O17" i="9"/>
  <c r="U17" i="9" s="1"/>
  <c r="G17" i="9"/>
  <c r="K20" i="9"/>
  <c r="L20" i="9" s="1"/>
  <c r="E53" i="5"/>
  <c r="K21" i="9"/>
  <c r="L21" i="9" s="1"/>
  <c r="K22" i="9"/>
  <c r="L22" i="9" s="1"/>
  <c r="E25" i="8"/>
  <c r="F25" i="8" s="1"/>
  <c r="K23" i="9"/>
  <c r="L23" i="9" s="1"/>
  <c r="K24" i="9"/>
  <c r="L24" i="9" s="1"/>
  <c r="K27" i="9"/>
  <c r="L27" i="9" s="1"/>
  <c r="N58" i="5"/>
  <c r="E64" i="8"/>
  <c r="F64" i="8" s="1"/>
  <c r="K33" i="9"/>
  <c r="L33" i="9" s="1"/>
  <c r="E105" i="5"/>
  <c r="K35" i="9"/>
  <c r="L35" i="9" s="1"/>
  <c r="D109" i="5"/>
  <c r="E77" i="8" s="1"/>
  <c r="F77" i="8" s="1"/>
  <c r="K16" i="9"/>
  <c r="L16" i="9" s="1"/>
  <c r="K29" i="9"/>
  <c r="L29" i="9" s="1"/>
  <c r="K31" i="9"/>
  <c r="L31" i="9" s="1"/>
  <c r="K30" i="9"/>
  <c r="L30" i="9" s="1"/>
  <c r="K3" i="9"/>
  <c r="L3" i="9" s="1"/>
  <c r="K4" i="9"/>
  <c r="L4" i="9" s="1"/>
  <c r="K5" i="9"/>
  <c r="L5" i="9" s="1"/>
  <c r="D30" i="5"/>
  <c r="L6" i="9"/>
  <c r="K7" i="9"/>
  <c r="L7" i="9" s="1"/>
  <c r="K8" i="9"/>
  <c r="L8" i="9" s="1"/>
  <c r="K9" i="9"/>
  <c r="L9" i="9" s="1"/>
  <c r="K10" i="9"/>
  <c r="L10" i="9" s="1"/>
  <c r="D8" i="5"/>
  <c r="K11" i="9"/>
  <c r="L11" i="9" s="1"/>
  <c r="K14" i="9"/>
  <c r="L14" i="9" s="1"/>
  <c r="K12" i="9"/>
  <c r="L12" i="9" s="1"/>
  <c r="D70" i="5"/>
  <c r="K13" i="9"/>
  <c r="L13" i="9" s="1"/>
  <c r="K17" i="9"/>
  <c r="L17" i="9" s="1"/>
  <c r="D14" i="5"/>
  <c r="M11" i="5" s="1"/>
  <c r="N11" i="5" s="1"/>
  <c r="K15" i="9"/>
  <c r="L15" i="9" s="1"/>
  <c r="K26" i="9"/>
  <c r="L26" i="9" s="1"/>
  <c r="K25" i="9"/>
  <c r="L25" i="9" s="1"/>
  <c r="I3" i="9"/>
  <c r="O4" i="9"/>
  <c r="I4" i="9"/>
  <c r="O5" i="9"/>
  <c r="X5" i="9" s="1"/>
  <c r="I5" i="9"/>
  <c r="O6" i="9"/>
  <c r="S6" i="9" s="1"/>
  <c r="I6" i="9"/>
  <c r="O7" i="9"/>
  <c r="S7" i="9" s="1"/>
  <c r="I7" i="9"/>
  <c r="O8" i="9"/>
  <c r="X8" i="9" s="1"/>
  <c r="I8" i="9"/>
  <c r="O9" i="9"/>
  <c r="I9" i="9"/>
  <c r="O10" i="9"/>
  <c r="O11" i="9"/>
  <c r="U11" i="9" s="1"/>
  <c r="I11" i="9"/>
  <c r="O12" i="9"/>
  <c r="O13" i="9"/>
  <c r="O14" i="9"/>
  <c r="Y14" i="9" s="1"/>
  <c r="O15" i="9"/>
  <c r="V15" i="9" s="1"/>
  <c r="O16" i="9"/>
  <c r="I16" i="9"/>
  <c r="O20" i="9"/>
  <c r="I20" i="9"/>
  <c r="O21" i="9"/>
  <c r="I21" i="9"/>
  <c r="O22" i="9"/>
  <c r="U22" i="9" s="1"/>
  <c r="I22" i="9"/>
  <c r="O23" i="9"/>
  <c r="U23" i="9" s="1"/>
  <c r="I23" i="9"/>
  <c r="O24" i="9"/>
  <c r="V24" i="9" s="1"/>
  <c r="G50" i="9" s="1"/>
  <c r="I24" i="9"/>
  <c r="O25" i="9"/>
  <c r="I25" i="9"/>
  <c r="O26" i="9"/>
  <c r="R26" i="9" s="1"/>
  <c r="I26" i="9"/>
  <c r="O27" i="9"/>
  <c r="I27" i="9"/>
  <c r="O28" i="9"/>
  <c r="S28" i="9" s="1"/>
  <c r="I28" i="9"/>
  <c r="O29" i="9"/>
  <c r="I29" i="9"/>
  <c r="O30" i="9"/>
  <c r="I30" i="9"/>
  <c r="O31" i="9"/>
  <c r="I31" i="9"/>
  <c r="O33" i="9"/>
  <c r="O36" i="9"/>
  <c r="G36" i="9"/>
  <c r="I37" i="9"/>
  <c r="G37" i="9"/>
  <c r="O38" i="9"/>
  <c r="I38" i="9"/>
  <c r="G38" i="9"/>
  <c r="O39" i="9"/>
  <c r="I39" i="9"/>
  <c r="G39" i="9"/>
  <c r="O40" i="9"/>
  <c r="I40" i="9"/>
  <c r="G40" i="9"/>
  <c r="I41" i="9"/>
  <c r="M81" i="5"/>
  <c r="N81" i="5" s="1"/>
  <c r="E109" i="5"/>
  <c r="M83" i="5"/>
  <c r="E107" i="5"/>
  <c r="M85" i="5"/>
  <c r="N85" i="5" s="1"/>
  <c r="E79" i="5"/>
  <c r="E92" i="5"/>
  <c r="M61" i="5"/>
  <c r="E93" i="5"/>
  <c r="M62" i="5"/>
  <c r="N61" i="5"/>
  <c r="N62" i="5"/>
  <c r="M59" i="5"/>
  <c r="N59" i="5" s="1"/>
  <c r="E72" i="5"/>
  <c r="E34" i="5"/>
  <c r="M52" i="5"/>
  <c r="N52" i="5" s="1"/>
  <c r="E6" i="5"/>
  <c r="N21" i="5"/>
  <c r="E26" i="5"/>
  <c r="E25" i="5"/>
  <c r="M24" i="5"/>
  <c r="N24" i="5" s="1"/>
  <c r="E40" i="5"/>
  <c r="M27" i="5"/>
  <c r="N27" i="5" s="1"/>
  <c r="E84" i="5"/>
  <c r="M28" i="5"/>
  <c r="N28" i="5" s="1"/>
  <c r="E43" i="5"/>
  <c r="M30" i="5"/>
  <c r="N30" i="5" s="1"/>
  <c r="E4" i="5"/>
  <c r="M48" i="5"/>
  <c r="N48" i="5" s="1"/>
  <c r="E5" i="5"/>
  <c r="E33" i="5"/>
  <c r="N23" i="5"/>
  <c r="E77" i="5"/>
  <c r="E85" i="5"/>
  <c r="M57" i="5"/>
  <c r="N57" i="5" s="1"/>
  <c r="E52" i="5"/>
  <c r="D12" i="5"/>
  <c r="E13" i="8" s="1"/>
  <c r="F13" i="8" s="1"/>
  <c r="W42" i="9" l="1"/>
  <c r="V42" i="9"/>
  <c r="U42" i="9"/>
  <c r="T42" i="9"/>
  <c r="S42" i="9"/>
  <c r="G62" i="13"/>
  <c r="Z26" i="13"/>
  <c r="X51" i="13"/>
  <c r="W51" i="13"/>
  <c r="V51" i="13"/>
  <c r="U51" i="13"/>
  <c r="T51" i="13"/>
  <c r="S51" i="13"/>
  <c r="R51" i="13"/>
  <c r="Q51" i="13"/>
  <c r="Z51" i="13" s="1"/>
  <c r="X50" i="13"/>
  <c r="W50" i="13"/>
  <c r="V50" i="13"/>
  <c r="U50" i="13"/>
  <c r="T50" i="13"/>
  <c r="S50" i="13"/>
  <c r="R50" i="13"/>
  <c r="Q50" i="13"/>
  <c r="Z50" i="13" s="1"/>
  <c r="W49" i="13"/>
  <c r="V49" i="13"/>
  <c r="U49" i="13"/>
  <c r="T49" i="13"/>
  <c r="S49" i="13"/>
  <c r="R49" i="13"/>
  <c r="Z49" i="13" s="1"/>
  <c r="W42" i="13"/>
  <c r="V42" i="13"/>
  <c r="U42" i="13"/>
  <c r="T42" i="13"/>
  <c r="S42" i="13"/>
  <c r="R42" i="13"/>
  <c r="Q42" i="13"/>
  <c r="Z42" i="13" s="1"/>
  <c r="W35" i="13"/>
  <c r="V35" i="13"/>
  <c r="U35" i="13"/>
  <c r="T35" i="13"/>
  <c r="S35" i="13"/>
  <c r="R35" i="13"/>
  <c r="Q35" i="13"/>
  <c r="W36" i="13"/>
  <c r="V36" i="13"/>
  <c r="U36" i="13"/>
  <c r="T36" i="13"/>
  <c r="S36" i="13"/>
  <c r="R36" i="13"/>
  <c r="Q36" i="13"/>
  <c r="Z36" i="13" s="1"/>
  <c r="V37" i="13"/>
  <c r="U37" i="13"/>
  <c r="T37" i="13"/>
  <c r="S37" i="13"/>
  <c r="R37" i="13"/>
  <c r="Q37" i="13"/>
  <c r="Z37" i="13" s="1"/>
  <c r="V38" i="13"/>
  <c r="U38" i="13"/>
  <c r="T38" i="13"/>
  <c r="S38" i="13"/>
  <c r="R38" i="13"/>
  <c r="Q38" i="13"/>
  <c r="Z38" i="13" s="1"/>
  <c r="S39" i="13"/>
  <c r="T39" i="13"/>
  <c r="V39" i="13"/>
  <c r="X39" i="13"/>
  <c r="W39" i="13"/>
  <c r="U39" i="13"/>
  <c r="R39" i="13"/>
  <c r="Q39" i="13"/>
  <c r="Z39" i="13" s="1"/>
  <c r="W53" i="13"/>
  <c r="V53" i="13"/>
  <c r="U53" i="13"/>
  <c r="T53" i="13"/>
  <c r="S53" i="13"/>
  <c r="R53" i="13"/>
  <c r="Z53" i="13" s="1"/>
  <c r="X52" i="13"/>
  <c r="W52" i="13"/>
  <c r="V52" i="13"/>
  <c r="U52" i="13"/>
  <c r="T52" i="13"/>
  <c r="S52" i="13"/>
  <c r="R52" i="13"/>
  <c r="Q52" i="13"/>
  <c r="Z52" i="13" s="1"/>
  <c r="W48" i="13"/>
  <c r="V48" i="13"/>
  <c r="U48" i="13"/>
  <c r="T48" i="13"/>
  <c r="S48" i="13"/>
  <c r="R48" i="13"/>
  <c r="Q48" i="13"/>
  <c r="Z48" i="13" s="1"/>
  <c r="W40" i="13"/>
  <c r="V40" i="13"/>
  <c r="U40" i="13"/>
  <c r="T40" i="13"/>
  <c r="S40" i="13"/>
  <c r="R40" i="13"/>
  <c r="Q40" i="13"/>
  <c r="Z40" i="13" s="1"/>
  <c r="W41" i="13"/>
  <c r="V41" i="13"/>
  <c r="U41" i="13"/>
  <c r="T41" i="13"/>
  <c r="S41" i="13"/>
  <c r="R41" i="13"/>
  <c r="Q41" i="13"/>
  <c r="Z41" i="13" s="1"/>
  <c r="W43" i="13"/>
  <c r="V43" i="13"/>
  <c r="U43" i="13"/>
  <c r="T43" i="13"/>
  <c r="S43" i="13"/>
  <c r="R43" i="13"/>
  <c r="Q43" i="13"/>
  <c r="Z43" i="13" s="1"/>
  <c r="W44" i="13"/>
  <c r="V44" i="13"/>
  <c r="U44" i="13"/>
  <c r="T44" i="13"/>
  <c r="S44" i="13"/>
  <c r="R44" i="13"/>
  <c r="Q44" i="13"/>
  <c r="Z44" i="13" s="1"/>
  <c r="W45" i="13"/>
  <c r="V45" i="13"/>
  <c r="U45" i="13"/>
  <c r="T45" i="13"/>
  <c r="S45" i="13"/>
  <c r="R45" i="13"/>
  <c r="Q45" i="13"/>
  <c r="Z45" i="13" s="1"/>
  <c r="V46" i="13"/>
  <c r="U46" i="13"/>
  <c r="T46" i="13"/>
  <c r="S46" i="13"/>
  <c r="R46" i="13"/>
  <c r="Z46" i="13" s="1"/>
  <c r="V47" i="13"/>
  <c r="U47" i="13"/>
  <c r="T47" i="13"/>
  <c r="S47" i="13"/>
  <c r="R47" i="13"/>
  <c r="Z47" i="13" s="1"/>
  <c r="I34" i="13"/>
  <c r="O34" i="13"/>
  <c r="I33" i="13"/>
  <c r="O33" i="13"/>
  <c r="J49" i="9"/>
  <c r="C28" i="14"/>
  <c r="V23" i="14"/>
  <c r="G32" i="14" s="1"/>
  <c r="U23" i="14"/>
  <c r="F32" i="14" s="1"/>
  <c r="T23" i="14"/>
  <c r="E32" i="14" s="1"/>
  <c r="S23" i="14"/>
  <c r="D32" i="14" s="1"/>
  <c r="R23" i="14"/>
  <c r="J32" i="14" s="1"/>
  <c r="G22" i="14"/>
  <c r="O22" i="14"/>
  <c r="I22" i="14"/>
  <c r="Y41" i="12"/>
  <c r="X41" i="12"/>
  <c r="W41" i="12"/>
  <c r="V41" i="12"/>
  <c r="U41" i="12"/>
  <c r="T41" i="12"/>
  <c r="S41" i="12"/>
  <c r="R41" i="12"/>
  <c r="X40" i="12"/>
  <c r="W40" i="12"/>
  <c r="V40" i="12"/>
  <c r="U40" i="12"/>
  <c r="T40" i="12"/>
  <c r="S40" i="12"/>
  <c r="X39" i="12"/>
  <c r="W39" i="12"/>
  <c r="V39" i="12"/>
  <c r="U39" i="12"/>
  <c r="T39" i="12"/>
  <c r="S39" i="12"/>
  <c r="R39" i="12"/>
  <c r="Y39" i="12"/>
  <c r="W38" i="12"/>
  <c r="V38" i="12"/>
  <c r="U38" i="12"/>
  <c r="T38" i="12"/>
  <c r="S38" i="12"/>
  <c r="Y37" i="12"/>
  <c r="X37" i="12"/>
  <c r="W37" i="12"/>
  <c r="V37" i="12"/>
  <c r="U37" i="12"/>
  <c r="T37" i="12"/>
  <c r="S37" i="12"/>
  <c r="R37" i="12"/>
  <c r="Y36" i="12"/>
  <c r="J54" i="12" s="1"/>
  <c r="X36" i="12"/>
  <c r="I54" i="12" s="1"/>
  <c r="W36" i="12"/>
  <c r="H54" i="12" s="1"/>
  <c r="V36" i="12"/>
  <c r="G54" i="12" s="1"/>
  <c r="U36" i="12"/>
  <c r="F54" i="12" s="1"/>
  <c r="T36" i="12"/>
  <c r="E54" i="12" s="1"/>
  <c r="S36" i="12"/>
  <c r="D54" i="12" s="1"/>
  <c r="R36" i="12"/>
  <c r="C54" i="12" s="1"/>
  <c r="K54" i="12" s="1"/>
  <c r="O29" i="12"/>
  <c r="G29" i="12"/>
  <c r="Y41" i="9"/>
  <c r="X41" i="9"/>
  <c r="W41" i="9"/>
  <c r="V41" i="9"/>
  <c r="U41" i="9"/>
  <c r="T41" i="9"/>
  <c r="S41" i="9"/>
  <c r="R41" i="9"/>
  <c r="X40" i="9"/>
  <c r="W40" i="9"/>
  <c r="V40" i="9"/>
  <c r="U40" i="9"/>
  <c r="T40" i="9"/>
  <c r="S40" i="9"/>
  <c r="R40" i="9"/>
  <c r="Y39" i="9"/>
  <c r="X39" i="9"/>
  <c r="W39" i="9"/>
  <c r="V39" i="9"/>
  <c r="U39" i="9"/>
  <c r="T39" i="9"/>
  <c r="S39" i="9"/>
  <c r="R39" i="9"/>
  <c r="W38" i="9"/>
  <c r="V38" i="9"/>
  <c r="U38" i="9"/>
  <c r="T38" i="9"/>
  <c r="S38" i="9"/>
  <c r="R38" i="9"/>
  <c r="Y36" i="9"/>
  <c r="J54" i="9" s="1"/>
  <c r="K9" i="15" s="1"/>
  <c r="X36" i="9"/>
  <c r="I54" i="9" s="1"/>
  <c r="J9" i="15" s="1"/>
  <c r="W36" i="9"/>
  <c r="I9" i="15" s="1"/>
  <c r="V36" i="9"/>
  <c r="H9" i="15" s="1"/>
  <c r="U36" i="9"/>
  <c r="G9" i="15" s="1"/>
  <c r="T36" i="9"/>
  <c r="F9" i="15" s="1"/>
  <c r="S36" i="9"/>
  <c r="E9" i="15" s="1"/>
  <c r="R36" i="9"/>
  <c r="W33" i="9"/>
  <c r="S33" i="9"/>
  <c r="E41" i="8"/>
  <c r="F41" i="8" s="1"/>
  <c r="M49" i="5"/>
  <c r="N49" i="5" s="1"/>
  <c r="D62" i="13"/>
  <c r="K31" i="13"/>
  <c r="L31" i="13" s="1"/>
  <c r="D71" i="5"/>
  <c r="N86" i="5"/>
  <c r="L18" i="9"/>
  <c r="M17" i="5"/>
  <c r="E62" i="8"/>
  <c r="F62" i="8" s="1"/>
  <c r="M13" i="5"/>
  <c r="E9" i="8"/>
  <c r="F9" i="8" s="1"/>
  <c r="M10" i="5"/>
  <c r="E38" i="8"/>
  <c r="F38" i="8" s="1"/>
  <c r="M5" i="5"/>
  <c r="E33" i="8"/>
  <c r="F33" i="8" s="1"/>
  <c r="M22" i="5"/>
  <c r="N22" i="5" s="1"/>
  <c r="E18" i="8"/>
  <c r="F18" i="8" s="1"/>
  <c r="M18" i="5"/>
  <c r="E16" i="8"/>
  <c r="F16" i="8" s="1"/>
  <c r="M16" i="5"/>
  <c r="E48" i="8"/>
  <c r="F48" i="8" s="1"/>
  <c r="M12" i="5"/>
  <c r="N12" i="5" s="1"/>
  <c r="E7" i="8"/>
  <c r="F7" i="8" s="1"/>
  <c r="M4" i="5"/>
  <c r="N4" i="5" s="1"/>
  <c r="M69" i="5"/>
  <c r="N69" i="5" s="1"/>
  <c r="E86" i="5"/>
  <c r="M67" i="5"/>
  <c r="N67" i="5" s="1"/>
  <c r="E95" i="5"/>
  <c r="E22" i="8"/>
  <c r="F22" i="8" s="1"/>
  <c r="M60" i="5"/>
  <c r="N60" i="5" s="1"/>
  <c r="E20" i="5"/>
  <c r="M65" i="5"/>
  <c r="N65" i="5" s="1"/>
  <c r="E47" i="5"/>
  <c r="M66" i="5"/>
  <c r="N66" i="5" s="1"/>
  <c r="E94" i="5"/>
  <c r="M68" i="5"/>
  <c r="N68" i="5" s="1"/>
  <c r="W25" i="14"/>
  <c r="H29" i="14"/>
  <c r="F12" i="8"/>
  <c r="E11" i="8"/>
  <c r="F11" i="8" s="1"/>
  <c r="F78" i="8"/>
  <c r="E106" i="5"/>
  <c r="E110" i="5" s="1"/>
  <c r="E72" i="8"/>
  <c r="F72" i="8" s="1"/>
  <c r="U34" i="13"/>
  <c r="G65" i="13" s="1"/>
  <c r="T34" i="13"/>
  <c r="F65" i="13" s="1"/>
  <c r="T30" i="13"/>
  <c r="F63" i="13" s="1"/>
  <c r="W30" i="13"/>
  <c r="I63" i="13" s="1"/>
  <c r="U30" i="13"/>
  <c r="G63" i="13" s="1"/>
  <c r="U22" i="13"/>
  <c r="Z22" i="13" s="1"/>
  <c r="V17" i="13"/>
  <c r="U17" i="13"/>
  <c r="T16" i="13"/>
  <c r="V16" i="13"/>
  <c r="U16" i="13"/>
  <c r="S11" i="13"/>
  <c r="V11" i="13"/>
  <c r="W6" i="13"/>
  <c r="V6" i="13"/>
  <c r="U6" i="13"/>
  <c r="W5" i="13"/>
  <c r="V5" i="13"/>
  <c r="U5" i="13"/>
  <c r="W13" i="13"/>
  <c r="U13" i="13"/>
  <c r="M37" i="5"/>
  <c r="N37" i="5" s="1"/>
  <c r="E50" i="8"/>
  <c r="F50" i="8" s="1"/>
  <c r="M53" i="5"/>
  <c r="N53" i="5" s="1"/>
  <c r="E49" i="8"/>
  <c r="F49" i="8" s="1"/>
  <c r="V20" i="13"/>
  <c r="U20" i="13"/>
  <c r="Z20" i="13" s="1"/>
  <c r="E14" i="5"/>
  <c r="E15" i="8"/>
  <c r="F15" i="8" s="1"/>
  <c r="Y43" i="12"/>
  <c r="J49" i="12"/>
  <c r="K4" i="15" s="1"/>
  <c r="H49" i="12"/>
  <c r="R32" i="13"/>
  <c r="T32" i="13"/>
  <c r="V27" i="13"/>
  <c r="H62" i="13" s="1"/>
  <c r="S27" i="13"/>
  <c r="R14" i="13"/>
  <c r="T14" i="13"/>
  <c r="R7" i="13"/>
  <c r="S7" i="13"/>
  <c r="R6" i="13"/>
  <c r="T6" i="13"/>
  <c r="S6" i="13"/>
  <c r="T5" i="13"/>
  <c r="S5" i="13"/>
  <c r="K7" i="13"/>
  <c r="L7" i="13" s="1"/>
  <c r="Z28" i="13"/>
  <c r="X30" i="12"/>
  <c r="I52" i="12" s="1"/>
  <c r="V30" i="12"/>
  <c r="G52" i="12" s="1"/>
  <c r="U30" i="12"/>
  <c r="S30" i="12"/>
  <c r="U29" i="12"/>
  <c r="F52" i="12" s="1"/>
  <c r="S29" i="12"/>
  <c r="Q29" i="12"/>
  <c r="B52" i="12" s="1"/>
  <c r="X28" i="12"/>
  <c r="W28" i="12"/>
  <c r="T28" i="12"/>
  <c r="S28" i="12"/>
  <c r="V27" i="12"/>
  <c r="G51" i="12" s="1"/>
  <c r="U27" i="12"/>
  <c r="F51" i="12" s="1"/>
  <c r="T27" i="12"/>
  <c r="S27" i="12"/>
  <c r="D51" i="12" s="1"/>
  <c r="V24" i="12"/>
  <c r="T24" i="12"/>
  <c r="E50" i="12" s="1"/>
  <c r="V22" i="12"/>
  <c r="G50" i="12" s="1"/>
  <c r="H5" i="15" s="1"/>
  <c r="U22" i="12"/>
  <c r="F50" i="12" s="1"/>
  <c r="S21" i="12"/>
  <c r="V10" i="12"/>
  <c r="U10" i="12"/>
  <c r="X8" i="12"/>
  <c r="V8" i="12"/>
  <c r="U8" i="12"/>
  <c r="T8" i="12"/>
  <c r="S8" i="12"/>
  <c r="K32" i="12"/>
  <c r="L32" i="12" s="1"/>
  <c r="E43" i="8"/>
  <c r="F43" i="8" s="1"/>
  <c r="F50" i="9"/>
  <c r="G5" i="15" s="1"/>
  <c r="D49" i="9"/>
  <c r="G32" i="12"/>
  <c r="I32" i="12"/>
  <c r="V27" i="9"/>
  <c r="G51" i="9" s="1"/>
  <c r="U27" i="9"/>
  <c r="S27" i="9"/>
  <c r="D51" i="9" s="1"/>
  <c r="V30" i="9"/>
  <c r="W30" i="9"/>
  <c r="V29" i="9"/>
  <c r="G52" i="9" s="1"/>
  <c r="W29" i="9"/>
  <c r="H52" i="9" s="1"/>
  <c r="E61" i="5"/>
  <c r="M41" i="5"/>
  <c r="N41" i="5" s="1"/>
  <c r="V4" i="9"/>
  <c r="W4" i="9"/>
  <c r="E55" i="5"/>
  <c r="M38" i="5"/>
  <c r="N38" i="5" s="1"/>
  <c r="V12" i="9"/>
  <c r="U10" i="9"/>
  <c r="V10" i="9"/>
  <c r="U8" i="9"/>
  <c r="V8" i="9"/>
  <c r="T33" i="9"/>
  <c r="U33" i="9"/>
  <c r="D53" i="9"/>
  <c r="U29" i="9"/>
  <c r="T29" i="9"/>
  <c r="S29" i="9"/>
  <c r="Q29" i="9"/>
  <c r="B52" i="9" s="1"/>
  <c r="S21" i="9"/>
  <c r="R20" i="9"/>
  <c r="T9" i="9"/>
  <c r="T8" i="9"/>
  <c r="R8" i="9"/>
  <c r="R4" i="9"/>
  <c r="U4" i="9"/>
  <c r="D7" i="5"/>
  <c r="N16" i="5"/>
  <c r="E15" i="5"/>
  <c r="O9" i="14"/>
  <c r="I9" i="14"/>
  <c r="G9" i="14"/>
  <c r="O8" i="14"/>
  <c r="I8" i="14"/>
  <c r="G8" i="14"/>
  <c r="G7" i="14"/>
  <c r="O7" i="14"/>
  <c r="U7" i="14" s="1"/>
  <c r="J30" i="14"/>
  <c r="M31" i="5"/>
  <c r="N31" i="5" s="1"/>
  <c r="E44" i="5"/>
  <c r="E48" i="5" s="1"/>
  <c r="N18" i="5"/>
  <c r="E17" i="5"/>
  <c r="D69" i="5"/>
  <c r="E61" i="8" s="1"/>
  <c r="F61" i="8" s="1"/>
  <c r="K12" i="13"/>
  <c r="L12" i="13" s="1"/>
  <c r="K4" i="13"/>
  <c r="Q44" i="9"/>
  <c r="L4" i="13"/>
  <c r="C5" i="13"/>
  <c r="I5" i="13" s="1"/>
  <c r="O4" i="13"/>
  <c r="I4" i="13"/>
  <c r="G4" i="13"/>
  <c r="X34" i="13"/>
  <c r="J65" i="13" s="1"/>
  <c r="W34" i="13"/>
  <c r="I65" i="13" s="1"/>
  <c r="V34" i="13"/>
  <c r="H65" i="13" s="1"/>
  <c r="H6" i="15" s="1"/>
  <c r="S34" i="13"/>
  <c r="E65" i="13" s="1"/>
  <c r="W32" i="13"/>
  <c r="V32" i="13"/>
  <c r="S32" i="13"/>
  <c r="X30" i="13"/>
  <c r="J63" i="13" s="1"/>
  <c r="V30" i="13"/>
  <c r="H63" i="13" s="1"/>
  <c r="Z17" i="13"/>
  <c r="W16" i="13"/>
  <c r="Z16" i="13"/>
  <c r="Z15" i="13"/>
  <c r="Z14" i="13"/>
  <c r="Z9" i="13"/>
  <c r="W7" i="13"/>
  <c r="Z6" i="13"/>
  <c r="X3" i="13"/>
  <c r="Z12" i="13"/>
  <c r="K29" i="13"/>
  <c r="L29" i="13" s="1"/>
  <c r="Z7" i="13"/>
  <c r="Q4" i="13"/>
  <c r="Z32" i="13"/>
  <c r="K63" i="13"/>
  <c r="Z30" i="13"/>
  <c r="Z27" i="13"/>
  <c r="O19" i="9"/>
  <c r="X19" i="9" s="1"/>
  <c r="I19" i="9"/>
  <c r="G19" i="9"/>
  <c r="S34" i="12"/>
  <c r="D53" i="12" s="1"/>
  <c r="U34" i="12"/>
  <c r="F53" i="12" s="1"/>
  <c r="T34" i="12"/>
  <c r="E53" i="12" s="1"/>
  <c r="K53" i="12"/>
  <c r="W30" i="12"/>
  <c r="H52" i="12" s="1"/>
  <c r="T30" i="12"/>
  <c r="E52" i="12" s="1"/>
  <c r="X27" i="12"/>
  <c r="W27" i="12"/>
  <c r="W43" i="12" s="1"/>
  <c r="J55" i="12"/>
  <c r="W34" i="9"/>
  <c r="H53" i="9" s="1"/>
  <c r="T34" i="9"/>
  <c r="M32" i="5"/>
  <c r="N32" i="5" s="1"/>
  <c r="E78" i="5"/>
  <c r="E80" i="5" s="1"/>
  <c r="M29" i="5"/>
  <c r="N29" i="5" s="1"/>
  <c r="D27" i="5"/>
  <c r="X28" i="9"/>
  <c r="U28" i="9"/>
  <c r="F51" i="9" s="1"/>
  <c r="G6" i="15" s="1"/>
  <c r="T28" i="9"/>
  <c r="X27" i="9"/>
  <c r="T27" i="9"/>
  <c r="I52" i="9"/>
  <c r="J7" i="15" s="1"/>
  <c r="U30" i="9"/>
  <c r="T30" i="9"/>
  <c r="S30" i="9"/>
  <c r="T24" i="9"/>
  <c r="T22" i="9"/>
  <c r="E50" i="9" s="1"/>
  <c r="F5" i="15" s="1"/>
  <c r="T5" i="9"/>
  <c r="R5" i="9"/>
  <c r="N17" i="5"/>
  <c r="E16" i="5"/>
  <c r="N13" i="5"/>
  <c r="E70" i="5"/>
  <c r="N10" i="5"/>
  <c r="E8" i="5"/>
  <c r="N5" i="5"/>
  <c r="E30" i="5"/>
  <c r="M74" i="5"/>
  <c r="N74" i="5" s="1"/>
  <c r="E11" i="5"/>
  <c r="M73" i="5"/>
  <c r="N73" i="5" s="1"/>
  <c r="E10" i="5"/>
  <c r="M47" i="5"/>
  <c r="N47" i="5" s="1"/>
  <c r="E90" i="5"/>
  <c r="E96" i="5" s="1"/>
  <c r="E13" i="5"/>
  <c r="V33" i="9"/>
  <c r="W28" i="9"/>
  <c r="W27" i="9"/>
  <c r="R27" i="9"/>
  <c r="C51" i="9" s="1"/>
  <c r="U15" i="9"/>
  <c r="X44" i="9"/>
  <c r="E18" i="5"/>
  <c r="M36" i="5"/>
  <c r="N36" i="5" s="1"/>
  <c r="M51" i="5"/>
  <c r="N51" i="5" s="1"/>
  <c r="E12" i="5"/>
  <c r="D9" i="15" l="1"/>
  <c r="L9" i="15" s="1"/>
  <c r="K54" i="9"/>
  <c r="Z35" i="13"/>
  <c r="C66" i="13"/>
  <c r="D66" i="13"/>
  <c r="E66" i="13"/>
  <c r="F66" i="13"/>
  <c r="G66" i="13"/>
  <c r="H66" i="13"/>
  <c r="I66" i="13"/>
  <c r="J66" i="13"/>
  <c r="C61" i="13"/>
  <c r="U55" i="13"/>
  <c r="E64" i="13"/>
  <c r="T55" i="13"/>
  <c r="Q33" i="13"/>
  <c r="Q55" i="13" s="1"/>
  <c r="R33" i="13"/>
  <c r="I64" i="13"/>
  <c r="V55" i="13"/>
  <c r="G53" i="9"/>
  <c r="J52" i="9"/>
  <c r="Y44" i="9"/>
  <c r="T46" i="9" s="1"/>
  <c r="D50" i="9"/>
  <c r="F53" i="9"/>
  <c r="H49" i="9"/>
  <c r="E62" i="13"/>
  <c r="AE27" i="13"/>
  <c r="D64" i="13"/>
  <c r="V22" i="14"/>
  <c r="U22" i="14"/>
  <c r="T22" i="14"/>
  <c r="S22" i="14"/>
  <c r="R22" i="14"/>
  <c r="Q22" i="14"/>
  <c r="D50" i="12"/>
  <c r="AB22" i="12"/>
  <c r="E51" i="12"/>
  <c r="H51" i="12"/>
  <c r="H55" i="12" s="1"/>
  <c r="I51" i="12"/>
  <c r="K7" i="15"/>
  <c r="K12" i="15" s="1"/>
  <c r="J56" i="9"/>
  <c r="H51" i="9"/>
  <c r="H56" i="9" s="1"/>
  <c r="E51" i="9"/>
  <c r="I51" i="9"/>
  <c r="I49" i="9"/>
  <c r="Q48" i="5"/>
  <c r="N54" i="5"/>
  <c r="C50" i="9"/>
  <c r="D5" i="15" s="1"/>
  <c r="AB22" i="9"/>
  <c r="E71" i="5"/>
  <c r="M76" i="5"/>
  <c r="N76" i="5" s="1"/>
  <c r="E63" i="8"/>
  <c r="F63" i="8" s="1"/>
  <c r="N70" i="5"/>
  <c r="E35" i="8"/>
  <c r="F35" i="8" s="1"/>
  <c r="M20" i="5"/>
  <c r="E8" i="8"/>
  <c r="M8" i="5"/>
  <c r="K51" i="9"/>
  <c r="D6" i="15"/>
  <c r="Z34" i="13"/>
  <c r="I6" i="15"/>
  <c r="J6" i="15"/>
  <c r="S4" i="13"/>
  <c r="S55" i="13" s="1"/>
  <c r="W4" i="13"/>
  <c r="E6" i="15"/>
  <c r="B56" i="9"/>
  <c r="C7" i="15"/>
  <c r="I7" i="15"/>
  <c r="H7" i="15"/>
  <c r="F61" i="13"/>
  <c r="G61" i="13"/>
  <c r="Z3" i="13"/>
  <c r="H61" i="13"/>
  <c r="Z11" i="13"/>
  <c r="F6" i="15"/>
  <c r="F8" i="8"/>
  <c r="F29" i="8" s="1"/>
  <c r="D52" i="12"/>
  <c r="P4" i="13"/>
  <c r="B61" i="13" s="1"/>
  <c r="R4" i="13"/>
  <c r="R55" i="13" s="1"/>
  <c r="E35" i="5"/>
  <c r="M75" i="5"/>
  <c r="N75" i="5" s="1"/>
  <c r="E49" i="9"/>
  <c r="F49" i="9"/>
  <c r="C49" i="9"/>
  <c r="C56" i="9" s="1"/>
  <c r="K50" i="9"/>
  <c r="D52" i="9"/>
  <c r="D56" i="9" s="1"/>
  <c r="E52" i="9"/>
  <c r="F7" i="15" s="1"/>
  <c r="F52" i="9"/>
  <c r="G7" i="15" s="1"/>
  <c r="E53" i="9"/>
  <c r="K53" i="9" s="1"/>
  <c r="G49" i="9"/>
  <c r="U8" i="14"/>
  <c r="U25" i="14" s="1"/>
  <c r="T8" i="14"/>
  <c r="T25" i="14" s="1"/>
  <c r="V9" i="14"/>
  <c r="V25" i="14" s="1"/>
  <c r="S9" i="14"/>
  <c r="S25" i="14" s="1"/>
  <c r="J29" i="14"/>
  <c r="H28" i="14"/>
  <c r="H33" i="14" s="1"/>
  <c r="E69" i="5"/>
  <c r="E73" i="5" s="1"/>
  <c r="M26" i="5"/>
  <c r="N26" i="5" s="1"/>
  <c r="X4" i="13"/>
  <c r="Z4" i="13"/>
  <c r="K65" i="13"/>
  <c r="K51" i="12"/>
  <c r="K52" i="12"/>
  <c r="N8" i="5"/>
  <c r="E7" i="5"/>
  <c r="E21" i="5" s="1"/>
  <c r="N20" i="5"/>
  <c r="E27" i="5"/>
  <c r="B4" i="15" l="1"/>
  <c r="B12" i="15" s="1"/>
  <c r="B67" i="13"/>
  <c r="C4" i="15"/>
  <c r="K66" i="13"/>
  <c r="J61" i="13"/>
  <c r="X55" i="13"/>
  <c r="I61" i="13"/>
  <c r="I67" i="13" s="1"/>
  <c r="W55" i="13"/>
  <c r="H64" i="13"/>
  <c r="H67" i="13" s="1"/>
  <c r="F64" i="13"/>
  <c r="F67" i="13" s="1"/>
  <c r="G64" i="13"/>
  <c r="G67" i="13" s="1"/>
  <c r="J64" i="13"/>
  <c r="J8" i="15"/>
  <c r="Z33" i="13"/>
  <c r="C64" i="13"/>
  <c r="C67" i="13" s="1"/>
  <c r="C8" i="15"/>
  <c r="C12" i="15" s="1"/>
  <c r="L6" i="15"/>
  <c r="Q25" i="14"/>
  <c r="Y22" i="14"/>
  <c r="D8" i="15"/>
  <c r="R25" i="14"/>
  <c r="E8" i="15"/>
  <c r="D31" i="14"/>
  <c r="F8" i="15"/>
  <c r="E31" i="14"/>
  <c r="G8" i="15"/>
  <c r="F31" i="14"/>
  <c r="H8" i="15"/>
  <c r="G31" i="14"/>
  <c r="I8" i="15"/>
  <c r="R27" i="14"/>
  <c r="B31" i="14"/>
  <c r="C31" i="14"/>
  <c r="C33" i="14" s="1"/>
  <c r="K50" i="12"/>
  <c r="E5" i="15"/>
  <c r="L5" i="15" s="1"/>
  <c r="G56" i="9"/>
  <c r="E7" i="15"/>
  <c r="L7" i="15" s="1"/>
  <c r="F56" i="9"/>
  <c r="E56" i="9"/>
  <c r="I56" i="9"/>
  <c r="N78" i="5"/>
  <c r="D61" i="13"/>
  <c r="D67" i="13" s="1"/>
  <c r="E61" i="13"/>
  <c r="E67" i="13" s="1"/>
  <c r="P55" i="13"/>
  <c r="K52" i="9"/>
  <c r="K49" i="9"/>
  <c r="K56" i="9" s="1"/>
  <c r="D28" i="14"/>
  <c r="D33" i="14" s="1"/>
  <c r="G28" i="14"/>
  <c r="E28" i="14"/>
  <c r="E33" i="14" s="1"/>
  <c r="F28" i="14"/>
  <c r="J28" i="14"/>
  <c r="Z29" i="13"/>
  <c r="J67" i="13" l="1"/>
  <c r="K64" i="13"/>
  <c r="L8" i="15"/>
  <c r="I4" i="15"/>
  <c r="I12" i="15" s="1"/>
  <c r="G33" i="14"/>
  <c r="B33" i="14"/>
  <c r="J31" i="14"/>
  <c r="J34" i="14" s="1"/>
  <c r="F33" i="14"/>
  <c r="K61" i="13"/>
  <c r="K62" i="13"/>
  <c r="I3" i="4"/>
  <c r="K3" i="4"/>
  <c r="K3" i="13"/>
  <c r="L3" i="13"/>
  <c r="D141" i="3"/>
  <c r="D159" i="3"/>
  <c r="D194" i="3"/>
  <c r="K67" i="13" l="1"/>
  <c r="D28" i="5"/>
  <c r="E36" i="8" l="1"/>
  <c r="F36" i="8" s="1"/>
  <c r="M19" i="5"/>
  <c r="E28" i="5"/>
  <c r="N19" i="5"/>
  <c r="R57" i="13"/>
  <c r="D4" i="12" l="1"/>
  <c r="H4" i="12"/>
  <c r="G4" i="12"/>
  <c r="D12" i="10"/>
  <c r="F4" i="11"/>
  <c r="J4" i="11"/>
  <c r="D59" i="5" s="1"/>
  <c r="E55" i="8" s="1"/>
  <c r="F55" i="8" s="1"/>
  <c r="K4" i="12"/>
  <c r="L4" i="12"/>
  <c r="M35" i="5" l="1"/>
  <c r="N35" i="5" s="1"/>
  <c r="E59" i="5"/>
  <c r="O4" i="12"/>
  <c r="I4" i="12"/>
  <c r="U4" i="12" l="1"/>
  <c r="U43" i="12" s="1"/>
  <c r="S4" i="12"/>
  <c r="R4" i="12"/>
  <c r="D5" i="12"/>
  <c r="H5" i="12" s="1"/>
  <c r="G5" i="12"/>
  <c r="D13" i="10"/>
  <c r="F5" i="11"/>
  <c r="J5" i="11"/>
  <c r="D56" i="5" s="1"/>
  <c r="E52" i="8" s="1"/>
  <c r="F52" i="8" s="1"/>
  <c r="F73" i="8" s="1"/>
  <c r="K5" i="12"/>
  <c r="L5" i="12"/>
  <c r="F49" i="12" l="1"/>
  <c r="F55" i="12" s="1"/>
  <c r="E56" i="5"/>
  <c r="E65" i="5" s="1"/>
  <c r="M39" i="5"/>
  <c r="N39" i="5" s="1"/>
  <c r="O5" i="12"/>
  <c r="I5" i="12"/>
  <c r="G4" i="15" l="1"/>
  <c r="G12" i="15" s="1"/>
  <c r="X5" i="12"/>
  <c r="V5" i="12"/>
  <c r="F9" i="11"/>
  <c r="J9" i="11"/>
  <c r="D32" i="5" s="1"/>
  <c r="K9" i="12"/>
  <c r="L9" i="12"/>
  <c r="D10" i="10"/>
  <c r="D9" i="12"/>
  <c r="H9" i="12"/>
  <c r="O9" i="12"/>
  <c r="G49" i="12" l="1"/>
  <c r="V43" i="12"/>
  <c r="E40" i="8"/>
  <c r="F40" i="8" s="1"/>
  <c r="F44" i="8" s="1"/>
  <c r="F86" i="8" s="1"/>
  <c r="M9" i="5"/>
  <c r="X43" i="12"/>
  <c r="I49" i="12"/>
  <c r="T9" i="12"/>
  <c r="E49" i="12" s="1"/>
  <c r="S9" i="12"/>
  <c r="R9" i="12"/>
  <c r="N9" i="5"/>
  <c r="N43" i="5" s="1"/>
  <c r="N90" i="5" s="1"/>
  <c r="E32" i="5"/>
  <c r="E36" i="5" s="1"/>
  <c r="E118" i="5" s="1"/>
  <c r="G9" i="12"/>
  <c r="I9" i="12"/>
  <c r="F4" i="15" l="1"/>
  <c r="F12" i="15" s="1"/>
  <c r="E55" i="12"/>
  <c r="J4" i="15"/>
  <c r="J12" i="15" s="1"/>
  <c r="I55" i="12"/>
  <c r="H4" i="15"/>
  <c r="H12" i="15" s="1"/>
  <c r="G55" i="12"/>
  <c r="C49" i="12"/>
  <c r="R43" i="12"/>
  <c r="D49" i="12"/>
  <c r="S43" i="12"/>
  <c r="E119" i="5"/>
  <c r="E120" i="5" s="1"/>
  <c r="T43" i="12"/>
  <c r="E4" i="15" l="1"/>
  <c r="E12" i="15" s="1"/>
  <c r="D55" i="12"/>
  <c r="D4" i="15"/>
  <c r="D12" i="15" s="1"/>
  <c r="L13" i="15" s="1"/>
  <c r="C55" i="12"/>
  <c r="T45" i="12"/>
  <c r="K49" i="12"/>
  <c r="K56" i="12" s="1"/>
  <c r="L4" i="15" l="1"/>
  <c r="L12" i="15" s="1"/>
  <c r="O16" i="15" s="1"/>
  <c r="F87" i="8"/>
  <c r="F88" i="8" s="1"/>
</calcChain>
</file>

<file path=xl/sharedStrings.xml><?xml version="1.0" encoding="utf-8"?>
<sst xmlns="http://schemas.openxmlformats.org/spreadsheetml/2006/main" count="3747" uniqueCount="597">
  <si>
    <t>2026 Fairways &amp; Tees Rotation</t>
  </si>
  <si>
    <r>
      <rPr>
        <b/>
        <sz val="11"/>
        <color rgb="FF000000"/>
        <rFont val="Aptos Narrow"/>
        <scheme val="minor"/>
      </rPr>
      <t>Date</t>
    </r>
    <r>
      <rPr>
        <sz val="11"/>
        <color rgb="FF000000"/>
        <rFont val="Aptos Narrow"/>
        <scheme val="minor"/>
      </rPr>
      <t xml:space="preserve"> </t>
    </r>
  </si>
  <si>
    <t>Product</t>
  </si>
  <si>
    <t>Rate oz/M</t>
  </si>
  <si>
    <t>Carrier</t>
  </si>
  <si>
    <t>Acres</t>
  </si>
  <si>
    <t>AI</t>
  </si>
  <si>
    <t>Placement/Mobility</t>
  </si>
  <si>
    <t>Resistance</t>
  </si>
  <si>
    <t>FRAC</t>
  </si>
  <si>
    <t>Notes</t>
  </si>
  <si>
    <t>Proxy</t>
  </si>
  <si>
    <t>Ethephon</t>
  </si>
  <si>
    <t>First app at 400 GDD using 32 degree model accumulation starting Jan 1st</t>
  </si>
  <si>
    <t>Primo Maxx</t>
  </si>
  <si>
    <t>Trinexapac-ethyl</t>
  </si>
  <si>
    <t>Densicor</t>
  </si>
  <si>
    <t>Prothioconazole</t>
  </si>
  <si>
    <t>DMI</t>
  </si>
  <si>
    <t>high</t>
  </si>
  <si>
    <t>5 day average 2" soil temps are 55*</t>
  </si>
  <si>
    <t>Secure</t>
  </si>
  <si>
    <t>Fluazinam</t>
  </si>
  <si>
    <t>Low</t>
  </si>
  <si>
    <t>Chipco 26019</t>
  </si>
  <si>
    <t>Iprodine</t>
  </si>
  <si>
    <t>mod-high</t>
  </si>
  <si>
    <t>Uflexx 46-0-0</t>
  </si>
  <si>
    <t>Harrell's Seaweed A+E</t>
  </si>
  <si>
    <t>Harrell's Stress Relefe</t>
  </si>
  <si>
    <t>Harrell's Calcium</t>
  </si>
  <si>
    <t>Harrell's Iron Mn Mg</t>
  </si>
  <si>
    <t>Excalibur</t>
  </si>
  <si>
    <t>28 days after first Densicor application</t>
  </si>
  <si>
    <t xml:space="preserve"> </t>
  </si>
  <si>
    <t>Dimension 2EW</t>
  </si>
  <si>
    <t>Dithiopyr</t>
  </si>
  <si>
    <t>Acelepryn</t>
  </si>
  <si>
    <t>Chlorantraniliprole</t>
  </si>
  <si>
    <t>Daconil WeatherStik</t>
  </si>
  <si>
    <t>Chlorothalonil</t>
  </si>
  <si>
    <t>Harrell's Amino Pro V</t>
  </si>
  <si>
    <t>Harrell's Title Phyte</t>
  </si>
  <si>
    <t>Vision</t>
  </si>
  <si>
    <t xml:space="preserve">Dicamba Acid </t>
  </si>
  <si>
    <t>Tartan</t>
  </si>
  <si>
    <t>Trifloxystrobin, Triadimefon</t>
  </si>
  <si>
    <t>DMI, Strobi</t>
  </si>
  <si>
    <t>High</t>
  </si>
  <si>
    <t>3+11</t>
  </si>
  <si>
    <t>Anuew EZ</t>
  </si>
  <si>
    <t xml:space="preserve">Prohexadione Calcium </t>
  </si>
  <si>
    <t>Trimmit 2SC</t>
  </si>
  <si>
    <t xml:space="preserve">Paclobutrazol </t>
  </si>
  <si>
    <t>H2O .125" @night</t>
  </si>
  <si>
    <t>Velocity</t>
  </si>
  <si>
    <t xml:space="preserve">Bispyribac Sodium </t>
  </si>
  <si>
    <t>Suprado</t>
  </si>
  <si>
    <t>Novaluron</t>
  </si>
  <si>
    <t>Honor</t>
  </si>
  <si>
    <t>Pyraclostrobin/Boscalid</t>
  </si>
  <si>
    <t>SDHI, Strobi</t>
  </si>
  <si>
    <t>11+7</t>
  </si>
  <si>
    <t>SMS 200</t>
  </si>
  <si>
    <t>Tetrino</t>
  </si>
  <si>
    <t>Tetaniliprole</t>
  </si>
  <si>
    <t>low</t>
  </si>
  <si>
    <t>M5 + P1</t>
  </si>
  <si>
    <t>Iprodione</t>
  </si>
  <si>
    <t>Matchpoint</t>
  </si>
  <si>
    <t>Spinosad</t>
  </si>
  <si>
    <t>Velista</t>
  </si>
  <si>
    <t>SDHI</t>
  </si>
  <si>
    <t xml:space="preserve">Spinosad </t>
  </si>
  <si>
    <t>Heritage WDG</t>
  </si>
  <si>
    <t>Azoxystrobin</t>
  </si>
  <si>
    <t>Strobi</t>
  </si>
  <si>
    <t>Ference</t>
  </si>
  <si>
    <t>Cyantraniliprole</t>
  </si>
  <si>
    <t xml:space="preserve">  </t>
  </si>
  <si>
    <t>TM 4.5</t>
  </si>
  <si>
    <t>Thiophanate-mehtyl</t>
  </si>
  <si>
    <t>Subdue Maxx</t>
  </si>
  <si>
    <t xml:space="preserve">Mefenoxam </t>
  </si>
  <si>
    <t>Protect DF</t>
  </si>
  <si>
    <t>Mancozeb</t>
  </si>
  <si>
    <t>Affirm WDG</t>
  </si>
  <si>
    <t>Polyoxin D</t>
  </si>
  <si>
    <t>Mirage</t>
  </si>
  <si>
    <t>Tebuconazole</t>
  </si>
  <si>
    <t>Xzemplar</t>
  </si>
  <si>
    <t>Fluxapyroxad</t>
  </si>
  <si>
    <t>mod</t>
  </si>
  <si>
    <t xml:space="preserve">Iprodine </t>
  </si>
  <si>
    <t>Instrata</t>
  </si>
  <si>
    <t xml:space="preserve">Chloro/ Propi/ Fludioxonil </t>
  </si>
  <si>
    <t>DMI, Systemic Upward</t>
  </si>
  <si>
    <t>M5, 3, 12</t>
  </si>
  <si>
    <t>2026 Quantities for Fairways / Tees</t>
  </si>
  <si>
    <t>Fungicides</t>
  </si>
  <si>
    <t>Applications</t>
  </si>
  <si>
    <t>Rate</t>
  </si>
  <si>
    <t>M</t>
  </si>
  <si>
    <t xml:space="preserve">Amount for Total Apps </t>
  </si>
  <si>
    <t>Container Size</t>
  </si>
  <si>
    <t>Units</t>
  </si>
  <si>
    <t>In Stock</t>
  </si>
  <si>
    <t>Order</t>
  </si>
  <si>
    <t>gal</t>
  </si>
  <si>
    <t>estimated</t>
  </si>
  <si>
    <t>lb</t>
  </si>
  <si>
    <t>Daconil Weatherstik</t>
  </si>
  <si>
    <t>oz</t>
  </si>
  <si>
    <t>8.5 oz/A</t>
  </si>
  <si>
    <t>QP TM 4.5 Flowable</t>
  </si>
  <si>
    <t>2.4 lbs/A</t>
  </si>
  <si>
    <t>Lexicon</t>
  </si>
  <si>
    <t xml:space="preserve">Instrata </t>
  </si>
  <si>
    <t xml:space="preserve">Velista </t>
  </si>
  <si>
    <t xml:space="preserve">oz </t>
  </si>
  <si>
    <t xml:space="preserve">Posterity </t>
  </si>
  <si>
    <t>lbs</t>
  </si>
  <si>
    <t>Insecticides</t>
  </si>
  <si>
    <t xml:space="preserve">Order </t>
  </si>
  <si>
    <t xml:space="preserve">Acelepryn </t>
  </si>
  <si>
    <t>.28 per M</t>
  </si>
  <si>
    <t xml:space="preserve">Dylox </t>
  </si>
  <si>
    <t>Herbicides</t>
  </si>
  <si>
    <t xml:space="preserve">Vision </t>
  </si>
  <si>
    <t xml:space="preserve">Velocity </t>
  </si>
  <si>
    <t>PGRs</t>
  </si>
  <si>
    <t>Wetting Agents</t>
  </si>
  <si>
    <t>Fairways only</t>
  </si>
  <si>
    <t>SMS 400</t>
  </si>
  <si>
    <t>Tees Only</t>
  </si>
  <si>
    <t>Fertility/Harrell's</t>
  </si>
  <si>
    <t>Amount Needed</t>
  </si>
  <si>
    <t>Containers Needed</t>
  </si>
  <si>
    <t>Max Calcium 8.25%</t>
  </si>
  <si>
    <t>Stress Relefe</t>
  </si>
  <si>
    <t>TitlePhyte</t>
  </si>
  <si>
    <t>Iron MnMg</t>
  </si>
  <si>
    <t>Amino Pro V</t>
  </si>
  <si>
    <t>Seaweed A+E</t>
  </si>
  <si>
    <t>Jolt</t>
  </si>
  <si>
    <t>2026 Cost for Fairways, Tees</t>
  </si>
  <si>
    <t xml:space="preserve">Monthly Breakdown </t>
  </si>
  <si>
    <t>Company</t>
  </si>
  <si>
    <t>Rate(oz/M)</t>
  </si>
  <si>
    <t>Cost/A</t>
  </si>
  <si>
    <t>Cost/App</t>
  </si>
  <si>
    <t xml:space="preserve"> 2026 Total App Cost</t>
  </si>
  <si>
    <t>Container Price</t>
  </si>
  <si>
    <t>2026 Purchase</t>
  </si>
  <si>
    <t>2026 Cost Per App</t>
  </si>
  <si>
    <t>March</t>
  </si>
  <si>
    <t>April</t>
  </si>
  <si>
    <t>May</t>
  </si>
  <si>
    <t>June</t>
  </si>
  <si>
    <t>July</t>
  </si>
  <si>
    <t xml:space="preserve">August </t>
  </si>
  <si>
    <t>September</t>
  </si>
  <si>
    <t xml:space="preserve">October </t>
  </si>
  <si>
    <t xml:space="preserve">November </t>
  </si>
  <si>
    <t xml:space="preserve">Envu </t>
  </si>
  <si>
    <t xml:space="preserve">Syngenta </t>
  </si>
  <si>
    <t>BASF</t>
  </si>
  <si>
    <t xml:space="preserve">Qualipro </t>
  </si>
  <si>
    <t xml:space="preserve">Nufarm </t>
  </si>
  <si>
    <t xml:space="preserve">lbs </t>
  </si>
  <si>
    <t>Posterity</t>
  </si>
  <si>
    <t xml:space="preserve">Corteva </t>
  </si>
  <si>
    <t>Corteva</t>
  </si>
  <si>
    <t xml:space="preserve">Helena </t>
  </si>
  <si>
    <t>AquaAid</t>
  </si>
  <si>
    <t>SMS</t>
  </si>
  <si>
    <t>Harrell's</t>
  </si>
  <si>
    <t>Amp</t>
  </si>
  <si>
    <t>March Total:</t>
  </si>
  <si>
    <t>April Total:</t>
  </si>
  <si>
    <t>May Total:</t>
  </si>
  <si>
    <t>June Total:</t>
  </si>
  <si>
    <t>July Total:</t>
  </si>
  <si>
    <t>Aug Total:</t>
  </si>
  <si>
    <t>Sep Total:</t>
  </si>
  <si>
    <t xml:space="preserve">Oct Total: </t>
  </si>
  <si>
    <t>Nov Total:</t>
  </si>
  <si>
    <t>Combined Total:</t>
  </si>
  <si>
    <t xml:space="preserve">April </t>
  </si>
  <si>
    <t xml:space="preserve">grand total </t>
  </si>
  <si>
    <t xml:space="preserve">Insecticides </t>
  </si>
  <si>
    <t xml:space="preserve">Herbicide </t>
  </si>
  <si>
    <t>PGRS</t>
  </si>
  <si>
    <t xml:space="preserve">Wetting Agents </t>
  </si>
  <si>
    <t xml:space="preserve">Liquid Fertrilizers </t>
  </si>
  <si>
    <t>2026 Range Rotation</t>
  </si>
  <si>
    <t>T-Nex</t>
  </si>
  <si>
    <t>Flex-Guard</t>
  </si>
  <si>
    <t>Ipro 2</t>
  </si>
  <si>
    <t>CLT 720</t>
  </si>
  <si>
    <t xml:space="preserve">Densicor </t>
  </si>
  <si>
    <t>28 days after first Densicor Application</t>
  </si>
  <si>
    <t>Contingent on tempatures in april</t>
  </si>
  <si>
    <t>Strobi/SDHI</t>
  </si>
  <si>
    <t>16 oz/A</t>
  </si>
  <si>
    <t>M5</t>
  </si>
  <si>
    <t>Strobe 50 WG</t>
  </si>
  <si>
    <t>Mefenoxam 2 AQ</t>
  </si>
  <si>
    <t>Exzemplar</t>
  </si>
  <si>
    <t>Tebuconazole 3.6F</t>
  </si>
  <si>
    <t>Pydiflumetofen</t>
  </si>
  <si>
    <t>Enclave</t>
  </si>
  <si>
    <t>Chlorothalonil, T-Methyl, Tebuconazole</t>
  </si>
  <si>
    <t>1,2,3</t>
  </si>
  <si>
    <t>2026 Quantities for Range</t>
  </si>
  <si>
    <t>Rate per/M</t>
  </si>
  <si>
    <t>Tebucponazole 3.6F</t>
  </si>
  <si>
    <t>QP TM 4.5</t>
  </si>
  <si>
    <t>Fertility- Harrell's Only</t>
  </si>
  <si>
    <t>2026 Cost for Range</t>
  </si>
  <si>
    <t>Tebucanazole 3.6F</t>
  </si>
  <si>
    <t xml:space="preserve">Liquid Fertilizers </t>
  </si>
  <si>
    <t>2026 Greens Rotation</t>
  </si>
  <si>
    <t>Date</t>
  </si>
  <si>
    <t>Target Pest</t>
  </si>
  <si>
    <t>Mobility</t>
  </si>
  <si>
    <t>Resist.</t>
  </si>
  <si>
    <t xml:space="preserve">Daconil Weatherstik </t>
  </si>
  <si>
    <t>Snow Mold</t>
  </si>
  <si>
    <t>Chlorathalonil</t>
  </si>
  <si>
    <t>Contact</t>
  </si>
  <si>
    <t>Fert</t>
  </si>
  <si>
    <t>Broad Spectrum</t>
  </si>
  <si>
    <t>Resilia</t>
  </si>
  <si>
    <t>Fairy Ring</t>
  </si>
  <si>
    <t>Fluopyram/Prothioconazole/Propamocarb</t>
  </si>
  <si>
    <t>3+7+28</t>
  </si>
  <si>
    <t>Systemic Upward</t>
  </si>
  <si>
    <t>SDHI, 55-60 degree soil temp followed by app 2 weeks after</t>
  </si>
  <si>
    <t>Oars PS</t>
  </si>
  <si>
    <t>Chipco 26GT</t>
  </si>
  <si>
    <t>Brown Patch</t>
  </si>
  <si>
    <t xml:space="preserve">Systemic  </t>
  </si>
  <si>
    <t>Segway</t>
  </si>
  <si>
    <t>Pythium Volutum</t>
  </si>
  <si>
    <t>Cyazofamid</t>
  </si>
  <si>
    <t>Local Penetrant</t>
  </si>
  <si>
    <t>Indemnify</t>
  </si>
  <si>
    <t>Nematodes</t>
  </si>
  <si>
    <t>Fluopyram</t>
  </si>
  <si>
    <t>QuickSilver</t>
  </si>
  <si>
    <t>Moss</t>
  </si>
  <si>
    <t>Carfentrazone-ethyl</t>
  </si>
  <si>
    <t>ABW</t>
  </si>
  <si>
    <t>Timing based on activity</t>
  </si>
  <si>
    <t>Signature</t>
  </si>
  <si>
    <t>Pythium Blight</t>
  </si>
  <si>
    <t>Aluminum-tris</t>
  </si>
  <si>
    <t>Systemic</t>
  </si>
  <si>
    <t>Divanem</t>
  </si>
  <si>
    <t>Abamectin</t>
  </si>
  <si>
    <t>White Grubs</t>
  </si>
  <si>
    <t xml:space="preserve">Daconil WeatherStik </t>
  </si>
  <si>
    <t>G Tops Only</t>
  </si>
  <si>
    <t xml:space="preserve">Protect DF </t>
  </si>
  <si>
    <t xml:space="preserve">Brown Patch </t>
  </si>
  <si>
    <t>Navicon</t>
  </si>
  <si>
    <t>Mefentrifluconazole/Pyraclstrobin</t>
  </si>
  <si>
    <t>DMI/Strobi</t>
  </si>
  <si>
    <t>Tetraniliprole</t>
  </si>
  <si>
    <t>PGR</t>
  </si>
  <si>
    <t xml:space="preserve">Trinexapac-ethly </t>
  </si>
  <si>
    <t>Prohexadione Calcium</t>
  </si>
  <si>
    <t>Serata</t>
  </si>
  <si>
    <t>Pythium</t>
  </si>
  <si>
    <t>Picarbutrazox</t>
  </si>
  <si>
    <t>U17</t>
  </si>
  <si>
    <t>Fluxapyroxad/Pyraclostrobin</t>
  </si>
  <si>
    <t>7&amp;11</t>
  </si>
  <si>
    <t>SDHI/Strobi</t>
  </si>
  <si>
    <t>Banol</t>
  </si>
  <si>
    <t xml:space="preserve">Propmocarb </t>
  </si>
  <si>
    <t>Thiophanate-methyl</t>
  </si>
  <si>
    <t>Pedigree SC</t>
  </si>
  <si>
    <t>Flutolanil</t>
  </si>
  <si>
    <t xml:space="preserve">Pythium Blight </t>
  </si>
  <si>
    <t>Heritage TL</t>
  </si>
  <si>
    <t xml:space="preserve">Strobi </t>
  </si>
  <si>
    <t xml:space="preserve">low </t>
  </si>
  <si>
    <t>Propamocarb</t>
  </si>
  <si>
    <t xml:space="preserve">Pythium Volutum </t>
  </si>
  <si>
    <t>Polyxon-D</t>
  </si>
  <si>
    <t xml:space="preserve">Iprodione </t>
  </si>
  <si>
    <t>M3</t>
  </si>
  <si>
    <t>Medallion SC</t>
  </si>
  <si>
    <t>Fludioxonil</t>
  </si>
  <si>
    <t>low-mod</t>
  </si>
  <si>
    <t>Aluminum-Tris</t>
  </si>
  <si>
    <t>Contact Rotation</t>
  </si>
  <si>
    <t>Soil Spray</t>
  </si>
  <si>
    <t>Nematode/ABW/Grub Control</t>
  </si>
  <si>
    <t>2026 Quantities for Greens &amp; Apps</t>
  </si>
  <si>
    <t>2026 Quantities for Green Tops Only</t>
  </si>
  <si>
    <t>Area</t>
  </si>
  <si>
    <t>Chipco Signature</t>
  </si>
  <si>
    <t>8.5oz/A</t>
  </si>
  <si>
    <t>6.25fl oz/A</t>
  </si>
  <si>
    <t>1.2fl oz/A</t>
  </si>
  <si>
    <t>Macrosorb Radicular</t>
  </si>
  <si>
    <t>Macrosorb Foliar</t>
  </si>
  <si>
    <t>Macrosorb Qualent Cal</t>
  </si>
  <si>
    <t>Macrosorb Qualent K</t>
  </si>
  <si>
    <t>Phlex man</t>
  </si>
  <si>
    <t>Protesyn</t>
  </si>
  <si>
    <t>X-Factor 0-0-22</t>
  </si>
  <si>
    <t>Glycofuze</t>
  </si>
  <si>
    <t>Knife Plus</t>
  </si>
  <si>
    <t>Per 4 Max</t>
  </si>
  <si>
    <t>Astron</t>
  </si>
  <si>
    <t>Calflex</t>
  </si>
  <si>
    <t>Maxiplex</t>
  </si>
  <si>
    <t>Renaissance</t>
  </si>
  <si>
    <t>Quad K a</t>
  </si>
  <si>
    <t>Quad Cal a</t>
  </si>
  <si>
    <t>P-48 a</t>
  </si>
  <si>
    <t>Defense Man</t>
  </si>
  <si>
    <t>Defense Mag</t>
  </si>
  <si>
    <t>Resurge</t>
  </si>
  <si>
    <t>2026 Cost For Greens</t>
  </si>
  <si>
    <t>Cost Per Month By Item</t>
  </si>
  <si>
    <t>Area/M</t>
  </si>
  <si>
    <t>2026 Total App Cost</t>
  </si>
  <si>
    <t>2026 Cost/App</t>
  </si>
  <si>
    <t>February</t>
  </si>
  <si>
    <t>Mar</t>
  </si>
  <si>
    <t>Apr</t>
  </si>
  <si>
    <t>Jun</t>
  </si>
  <si>
    <t>Jul</t>
  </si>
  <si>
    <t>Aug</t>
  </si>
  <si>
    <t>Sep</t>
  </si>
  <si>
    <t>Oct</t>
  </si>
  <si>
    <t>Bayer/Envu</t>
  </si>
  <si>
    <t>Syngenta</t>
  </si>
  <si>
    <t>PBI Gordon</t>
  </si>
  <si>
    <t xml:space="preserve">NuFarm </t>
  </si>
  <si>
    <t>FMC</t>
  </si>
  <si>
    <t>QualiPro</t>
  </si>
  <si>
    <t>Pedigree Fungicide SC</t>
  </si>
  <si>
    <t>PBI-Gordon</t>
  </si>
  <si>
    <t>Quicksilver</t>
  </si>
  <si>
    <t>Macrosorb</t>
  </si>
  <si>
    <t>Florintine</t>
  </si>
  <si>
    <t>Total Order</t>
  </si>
  <si>
    <t>Cost Per Month By Category</t>
  </si>
  <si>
    <t>Total</t>
  </si>
  <si>
    <t>Fungicide</t>
  </si>
  <si>
    <t>Insecticide</t>
  </si>
  <si>
    <t>Herbicide</t>
  </si>
  <si>
    <t>Liquid Fertilizers</t>
  </si>
  <si>
    <t xml:space="preserve">2026 Rough/Native Application Schedule </t>
  </si>
  <si>
    <t>Prodoxaben 3.7 SC</t>
  </si>
  <si>
    <t>Natives Spray</t>
  </si>
  <si>
    <t xml:space="preserve">Posterity Forte </t>
  </si>
  <si>
    <t>Pydiflumetfen, Propiconizole, Azoxysrobin</t>
  </si>
  <si>
    <t>7,3,11</t>
  </si>
  <si>
    <t>DMI, SDHI, QOI</t>
  </si>
  <si>
    <t xml:space="preserve">Cytoboost </t>
  </si>
  <si>
    <t xml:space="preserve">1 oz/M </t>
  </si>
  <si>
    <t>MpX Minors</t>
  </si>
  <si>
    <t xml:space="preserve">4 oz/M </t>
  </si>
  <si>
    <t>Propiconazole 14.3</t>
  </si>
  <si>
    <t>Propiconazole</t>
  </si>
  <si>
    <t xml:space="preserve">Uflexx </t>
  </si>
  <si>
    <t>0-0-50</t>
  </si>
  <si>
    <t xml:space="preserve">Mega Phi </t>
  </si>
  <si>
    <t>Helmsman</t>
  </si>
  <si>
    <t>Turflon</t>
  </si>
  <si>
    <t>32/A</t>
  </si>
  <si>
    <t xml:space="preserve">April 11 Native spray follow up application </t>
  </si>
  <si>
    <t>Fusilade II</t>
  </si>
  <si>
    <t>6/A</t>
  </si>
  <si>
    <t xml:space="preserve">Dimension </t>
  </si>
  <si>
    <t xml:space="preserve">Speedzone </t>
  </si>
  <si>
    <t xml:space="preserve">Chlorothalonil </t>
  </si>
  <si>
    <t xml:space="preserve">Helmsman </t>
  </si>
  <si>
    <t>Drive XLR8</t>
  </si>
  <si>
    <t xml:space="preserve">Bunker Banks Only </t>
  </si>
  <si>
    <t>Pylex</t>
  </si>
  <si>
    <t>0.25/A</t>
  </si>
  <si>
    <t xml:space="preserve">Strobe 2L </t>
  </si>
  <si>
    <t>Azxoystrobin</t>
  </si>
  <si>
    <t xml:space="preserve">T-Mythl </t>
  </si>
  <si>
    <t xml:space="preserve">Thiophanate-methly </t>
  </si>
  <si>
    <t xml:space="preserve">DMI </t>
  </si>
  <si>
    <t xml:space="preserve">strobi </t>
  </si>
  <si>
    <t>Barricade 65 WG</t>
  </si>
  <si>
    <t>Segment II</t>
  </si>
  <si>
    <t xml:space="preserve">Turflon </t>
  </si>
  <si>
    <t>Defendor</t>
  </si>
  <si>
    <t xml:space="preserve">2025 Rough Quantities </t>
  </si>
  <si>
    <t>Posterity Forte</t>
  </si>
  <si>
    <t xml:space="preserve">gals </t>
  </si>
  <si>
    <t xml:space="preserve">gal </t>
  </si>
  <si>
    <t>Added one unit to meet posterity bonus</t>
  </si>
  <si>
    <t>T-Mythl</t>
  </si>
  <si>
    <t>Strobe 2L</t>
  </si>
  <si>
    <t xml:space="preserve">Heritage WDG </t>
  </si>
  <si>
    <t>4.5oz/A</t>
  </si>
  <si>
    <t>1.5 oz/A</t>
  </si>
  <si>
    <t>Dimension Ultra 40WP</t>
  </si>
  <si>
    <t>.625lbs/A</t>
  </si>
  <si>
    <t>Speedzone</t>
  </si>
  <si>
    <t>Barricade 65WDG</t>
  </si>
  <si>
    <t>4 oz/A</t>
  </si>
  <si>
    <t>Fertilizers</t>
  </si>
  <si>
    <t>Cytoboost</t>
  </si>
  <si>
    <t>Mp-X Minors</t>
  </si>
  <si>
    <t>2lbs/A</t>
  </si>
  <si>
    <t>Made 81 for easier math to combine 80 and 8 acre</t>
  </si>
  <si>
    <t>Mega-Phi</t>
  </si>
  <si>
    <t xml:space="preserve">Native Herbicides </t>
  </si>
  <si>
    <t>6 oz/A</t>
  </si>
  <si>
    <t>32 oz/A</t>
  </si>
  <si>
    <t>Granulars</t>
  </si>
  <si>
    <t>0-0-51</t>
  </si>
  <si>
    <t>Uflexx</t>
  </si>
  <si>
    <t>24-0-9 w/Acelepryn</t>
  </si>
  <si>
    <t>bags</t>
  </si>
  <si>
    <t xml:space="preserve">12 Pallets </t>
  </si>
  <si>
    <t>29-0-10</t>
  </si>
  <si>
    <t>6 pallets</t>
  </si>
  <si>
    <t>2026 Cost for Rough/ Natives</t>
  </si>
  <si>
    <t>Dimension Ultra 40 WP</t>
  </si>
  <si>
    <t>Ocean Organics</t>
  </si>
  <si>
    <t>Mega Phi</t>
  </si>
  <si>
    <t>Brandt</t>
  </si>
  <si>
    <t>Fairway/Tee Fertilizers</t>
  </si>
  <si>
    <t>Total Pallets Order</t>
  </si>
  <si>
    <t>16-4-8</t>
  </si>
  <si>
    <t>14-0-14 W/ Mesa</t>
  </si>
  <si>
    <t>14-0-14</t>
  </si>
  <si>
    <t>20-20-20</t>
  </si>
  <si>
    <t>24-0-9</t>
  </si>
  <si>
    <t>Rough Fertilizers</t>
  </si>
  <si>
    <t>Not including tee acreage</t>
  </si>
  <si>
    <t>AMS</t>
  </si>
  <si>
    <t>Xcalibur Calcium</t>
  </si>
  <si>
    <t>13.7-0-46</t>
  </si>
  <si>
    <t>Greens Fertilizers</t>
  </si>
  <si>
    <t xml:space="preserve">Xcalibur Calcium </t>
  </si>
  <si>
    <t xml:space="preserve">13.7-0-46 Potasium Nitrate </t>
  </si>
  <si>
    <t>2026 Cost for Fairways/Tees</t>
  </si>
  <si>
    <t>Rate(lb/M)</t>
  </si>
  <si>
    <t>Lebanon</t>
  </si>
  <si>
    <t>Allied Nutrients</t>
  </si>
  <si>
    <t>SQM</t>
  </si>
  <si>
    <t xml:space="preserve">Total </t>
  </si>
  <si>
    <t>2026 Cost for Rough</t>
  </si>
  <si>
    <t>24-0-9 w/ Acelepryn</t>
  </si>
  <si>
    <t>Diamond K</t>
  </si>
  <si>
    <t>2026 Cost for Greens</t>
  </si>
  <si>
    <t>AdvanSix</t>
  </si>
  <si>
    <t>X-Calibur</t>
  </si>
  <si>
    <t>SynaTek</t>
  </si>
  <si>
    <t xml:space="preserve">TOTAL GRANULAR FERTILIZER </t>
  </si>
  <si>
    <t>Quantity</t>
  </si>
  <si>
    <t xml:space="preserve">Container Size </t>
  </si>
  <si>
    <t xml:space="preserve">Container Price </t>
  </si>
  <si>
    <t xml:space="preserve">Quantity </t>
  </si>
  <si>
    <t xml:space="preserve">2026 Purchase </t>
  </si>
  <si>
    <t xml:space="preserve">Heratige TL </t>
  </si>
  <si>
    <t>1 gal</t>
  </si>
  <si>
    <t>2.5 gal</t>
  </si>
  <si>
    <t xml:space="preserve">Medallion SC </t>
  </si>
  <si>
    <t xml:space="preserve">96 oz </t>
  </si>
  <si>
    <t>36 lbs</t>
  </si>
  <si>
    <t xml:space="preserve">6 lbs </t>
  </si>
  <si>
    <t>51 oz</t>
  </si>
  <si>
    <t>10 gal</t>
  </si>
  <si>
    <t>6 lbs</t>
  </si>
  <si>
    <t xml:space="preserve">64 oz </t>
  </si>
  <si>
    <t>2.4 lbs</t>
  </si>
  <si>
    <t>21 oz</t>
  </si>
  <si>
    <t xml:space="preserve">22 oz </t>
  </si>
  <si>
    <t xml:space="preserve">105 oz </t>
  </si>
  <si>
    <t>22  oz</t>
  </si>
  <si>
    <t>105 oz</t>
  </si>
  <si>
    <t>Banner Maxx II</t>
  </si>
  <si>
    <t>Posteriy Forte</t>
  </si>
  <si>
    <t>5 lbs</t>
  </si>
  <si>
    <t>32 oz</t>
  </si>
  <si>
    <t>2026 Total</t>
  </si>
  <si>
    <t>2.72 gal</t>
  </si>
  <si>
    <t>11 lbs</t>
  </si>
  <si>
    <t>39.2 oz</t>
  </si>
  <si>
    <t>37 oz</t>
  </si>
  <si>
    <t xml:space="preserve">Chipco Signature </t>
  </si>
  <si>
    <t>114 oz</t>
  </si>
  <si>
    <t>35 oz</t>
  </si>
  <si>
    <t>Maxtima</t>
  </si>
  <si>
    <t>Encartis</t>
  </si>
  <si>
    <t>1 lb</t>
  </si>
  <si>
    <t>17.1 oz</t>
  </si>
  <si>
    <t>1gal</t>
  </si>
  <si>
    <t xml:space="preserve">Navicon </t>
  </si>
  <si>
    <t xml:space="preserve">Honor </t>
  </si>
  <si>
    <t xml:space="preserve">36 lbs </t>
  </si>
  <si>
    <t xml:space="preserve">Lexicon </t>
  </si>
  <si>
    <t xml:space="preserve">21 oz </t>
  </si>
  <si>
    <t xml:space="preserve">Encartis </t>
  </si>
  <si>
    <t>.5 gal</t>
  </si>
  <si>
    <t>64 oz</t>
  </si>
  <si>
    <t xml:space="preserve">Idenmify </t>
  </si>
  <si>
    <t xml:space="preserve">Suprado </t>
  </si>
  <si>
    <t>8 oz</t>
  </si>
  <si>
    <t>16 oz</t>
  </si>
  <si>
    <t>Dimension 40WP</t>
  </si>
  <si>
    <t>40 oz</t>
  </si>
  <si>
    <t>NuFarm</t>
  </si>
  <si>
    <t xml:space="preserve">Primo Maxx </t>
  </si>
  <si>
    <t>PBI Gordan</t>
  </si>
  <si>
    <t xml:space="preserve">Anuew EZ </t>
  </si>
  <si>
    <t xml:space="preserve">Segway </t>
  </si>
  <si>
    <t xml:space="preserve">Excalibur </t>
  </si>
  <si>
    <t>55 gal</t>
  </si>
  <si>
    <t>35 gal</t>
  </si>
  <si>
    <t xml:space="preserve">Serata </t>
  </si>
  <si>
    <t xml:space="preserve">Quicksilver </t>
  </si>
  <si>
    <t xml:space="preserve">8oz </t>
  </si>
  <si>
    <t xml:space="preserve">Total for all Categories </t>
  </si>
  <si>
    <t>Dylox</t>
  </si>
  <si>
    <t xml:space="preserve">Granular Fert </t>
  </si>
  <si>
    <t xml:space="preserve">24-0-9 </t>
  </si>
  <si>
    <t>2000 LB</t>
  </si>
  <si>
    <t xml:space="preserve">2000 LB </t>
  </si>
  <si>
    <t xml:space="preserve">2025 Total </t>
  </si>
  <si>
    <t>30gal</t>
  </si>
  <si>
    <t>30 gal</t>
  </si>
  <si>
    <t>EOP Total</t>
  </si>
  <si>
    <t>Tax</t>
  </si>
  <si>
    <t>EOP Total w/ Tax</t>
  </si>
  <si>
    <t xml:space="preserve">(Some Items listed are a place holder for budgetary terms) </t>
  </si>
  <si>
    <t>2026 Combined Total Budget (Greens, Fairways, Tees, Range, Rough)</t>
  </si>
  <si>
    <t xml:space="preserve">March </t>
  </si>
  <si>
    <t>August</t>
  </si>
  <si>
    <t xml:space="preserve">September </t>
  </si>
  <si>
    <t>Grand Total (Tax included)</t>
  </si>
  <si>
    <t>Remaining Inventory</t>
  </si>
  <si>
    <t>Remaining Inventory Taxed</t>
  </si>
  <si>
    <t xml:space="preserve">Fungicides </t>
  </si>
  <si>
    <t xml:space="preserve">Herbicides </t>
  </si>
  <si>
    <t xml:space="preserve">Fertilizers </t>
  </si>
  <si>
    <t xml:space="preserve">Granular </t>
  </si>
  <si>
    <t xml:space="preserve">TOTAL </t>
  </si>
  <si>
    <t xml:space="preserve">2026 Spending </t>
  </si>
  <si>
    <t>2026 Vendor Breakdown for Fairways, Greens, Rough</t>
  </si>
  <si>
    <t>Pocono Turf</t>
  </si>
  <si>
    <t>Total Quantites</t>
  </si>
  <si>
    <t xml:space="preserve">Scott May </t>
  </si>
  <si>
    <t xml:space="preserve">PBI Gordon </t>
  </si>
  <si>
    <t>Tyler Herbst</t>
  </si>
  <si>
    <t>First Turf</t>
  </si>
  <si>
    <t xml:space="preserve">JT Latshaw </t>
  </si>
  <si>
    <t>Quali-pro</t>
  </si>
  <si>
    <t>`</t>
  </si>
  <si>
    <t xml:space="preserve">Nu-Farm </t>
  </si>
  <si>
    <t>Aqua-Aid</t>
  </si>
  <si>
    <t xml:space="preserve">Noble Turf </t>
  </si>
  <si>
    <t xml:space="preserve">Bill Cimochowaski </t>
  </si>
  <si>
    <t xml:space="preserve">SMS </t>
  </si>
  <si>
    <t>Synatek</t>
  </si>
  <si>
    <t>Curt Schnable</t>
  </si>
  <si>
    <t>Volution Affect (Acid)</t>
  </si>
  <si>
    <t xml:space="preserve">Tax </t>
  </si>
  <si>
    <t xml:space="preserve">Delayed Arrival Products (Delivery Dates and Quantities) </t>
  </si>
  <si>
    <t xml:space="preserve">Vendors </t>
  </si>
  <si>
    <t xml:space="preserve">Months </t>
  </si>
  <si>
    <t>End of May for June Use</t>
  </si>
  <si>
    <t>End of June for July Use</t>
  </si>
  <si>
    <t>End Of July for August Use</t>
  </si>
  <si>
    <t>Beginning of September</t>
  </si>
  <si>
    <t>October</t>
  </si>
  <si>
    <t xml:space="preserve"> JT Latshaw </t>
  </si>
  <si>
    <t>Ipro 2- 22 Cases</t>
  </si>
  <si>
    <t xml:space="preserve">CLT 720- 10 Cases </t>
  </si>
  <si>
    <t>Ipro 2- 20.5 Cases</t>
  </si>
  <si>
    <t>PPZ 14.3- 11 Cases</t>
  </si>
  <si>
    <t>Strobe 2L-5 Cases</t>
  </si>
  <si>
    <t>Strobe 2L- 5 Cases</t>
  </si>
  <si>
    <t>CLT 720- 9.5 Cases</t>
  </si>
  <si>
    <t>Scott May</t>
  </si>
  <si>
    <t>Velista- 13.5 Cases</t>
  </si>
  <si>
    <t>Daconil WS- 16.5 Cases</t>
  </si>
  <si>
    <t>Serrata- 10 Cases</t>
  </si>
  <si>
    <t xml:space="preserve">Tyler Herbst </t>
  </si>
  <si>
    <t>Chipco 26019- 7 Cases</t>
  </si>
  <si>
    <t>Chipco Sig- 5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</si>
</sst>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_([$$-409]* #,##0.00_);_([$$-409]* \(#,##0.00\);_([$$-409]* &quot;-&quot;??_);_(@_)"/>
    <numFmt numFmtId="166" formatCode="&quot;$&quot;#,##0.00"/>
    <numFmt numFmtId="167" formatCode="_([$$-409]* #,##0.000_);_([$$-409]* \(#,##0.000\);_([$$-409]* &quot;-&quot;???_);_(@_)"/>
  </numFmts>
  <fonts count="7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9"/>
      <name val="Arial"/>
    </font>
    <font>
      <sz val="9"/>
      <color rgb="FF000000"/>
      <name val="Arial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11"/>
      <color rgb="FFFF0000"/>
      <name val="Aptos Narrow"/>
      <family val="2"/>
      <scheme val="minor"/>
    </font>
    <font>
      <b/>
      <sz val="9"/>
      <color rgb="FF000000"/>
      <name val="Arial"/>
    </font>
    <font>
      <sz val="11"/>
      <color rgb="FF000000"/>
      <name val="Calibri"/>
    </font>
    <font>
      <sz val="11"/>
      <color rgb="FF000000"/>
      <name val="Calibri"/>
      <family val="2"/>
    </font>
    <font>
      <sz val="8"/>
      <color rgb="FF000000"/>
      <name val="Arial"/>
    </font>
    <font>
      <b/>
      <sz val="9"/>
      <name val="Arial"/>
    </font>
    <font>
      <sz val="10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color rgb="FF111111"/>
      <name val="Arial"/>
    </font>
    <font>
      <sz val="8"/>
      <name val="Arial"/>
    </font>
    <font>
      <sz val="11"/>
      <color rgb="FF000000"/>
      <name val="Aptos Narrow"/>
      <family val="2"/>
      <scheme val="minor"/>
    </font>
    <font>
      <b/>
      <sz val="18"/>
      <color rgb="FF000000"/>
      <name val="Arial"/>
      <family val="2"/>
    </font>
    <font>
      <u/>
      <sz val="14"/>
      <color rgb="FF000000"/>
      <name val="Calibri"/>
      <family val="2"/>
    </font>
    <font>
      <sz val="11"/>
      <color rgb="FFFFFF00"/>
      <name val="Aptos Narrow"/>
      <family val="2"/>
      <scheme val="minor"/>
    </font>
    <font>
      <sz val="11"/>
      <color theme="1"/>
      <name val="Calibri"/>
      <family val="2"/>
    </font>
    <font>
      <b/>
      <sz val="9"/>
      <color rgb="FFFF0000"/>
      <name val="Arial"/>
      <family val="2"/>
    </font>
    <font>
      <sz val="9"/>
      <color rgb="FF0000FF"/>
      <name val="Arial"/>
      <family val="2"/>
    </font>
    <font>
      <sz val="9"/>
      <color rgb="FFFF0000"/>
      <name val="Arial"/>
      <family val="2"/>
    </font>
    <font>
      <sz val="11"/>
      <color rgb="FF000000"/>
      <name val="Arial"/>
    </font>
    <font>
      <b/>
      <sz val="18"/>
      <color theme="1"/>
      <name val="Arial"/>
      <family val="2"/>
    </font>
    <font>
      <sz val="18"/>
      <name val="Arial"/>
      <family val="2"/>
    </font>
    <font>
      <u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4"/>
      <color rgb="FF000000"/>
      <name val="Calibri"/>
    </font>
    <font>
      <b/>
      <sz val="14"/>
      <color rgb="FF000000"/>
      <name val="Aptos Narrow"/>
      <scheme val="minor"/>
    </font>
    <font>
      <b/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u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4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</font>
    <font>
      <sz val="12"/>
      <color rgb="FF000000"/>
      <name val="Calibri"/>
      <family val="2"/>
    </font>
    <font>
      <sz val="12"/>
      <color rgb="FF000000"/>
      <name val="Calibri"/>
    </font>
    <font>
      <b/>
      <u/>
      <sz val="14"/>
      <color rgb="FF000000"/>
      <name val="Calibri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8"/>
      <color rgb="FF000000"/>
      <name val="Calibri"/>
      <family val="2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rial"/>
    </font>
    <font>
      <sz val="8"/>
      <color theme="1"/>
      <name val="Arial"/>
    </font>
    <font>
      <sz val="9"/>
      <name val="Calibri"/>
    </font>
    <font>
      <sz val="9"/>
      <color theme="1"/>
      <name val="Arial"/>
    </font>
    <font>
      <sz val="9"/>
      <color rgb="FFFF0000"/>
      <name val="Arial"/>
    </font>
    <font>
      <sz val="9"/>
      <color rgb="FF000000"/>
      <name val="Calibri"/>
    </font>
    <font>
      <b/>
      <sz val="18"/>
      <color rgb="FF000000"/>
      <name val="Arial"/>
    </font>
    <font>
      <sz val="18"/>
      <name val="Arial"/>
    </font>
    <font>
      <b/>
      <sz val="12"/>
      <color rgb="FF000000"/>
      <name val="Calibri"/>
    </font>
    <font>
      <sz val="18"/>
      <color rgb="FF000000"/>
      <name val="Calibri"/>
    </font>
    <font>
      <sz val="9"/>
      <color theme="1"/>
      <name val="Aptos Narrow"/>
      <family val="2"/>
      <scheme val="minor"/>
    </font>
    <font>
      <sz val="18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8"/>
      <color rgb="FF000000"/>
      <name val="Aptos Narrow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7F7F"/>
        <bgColor rgb="FF7F7F7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E36C09"/>
        <bgColor rgb="FFE36C0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rgb="FF00FFFF"/>
      </patternFill>
    </fill>
    <fill>
      <patternFill patternType="solid">
        <fgColor rgb="FF64E8E4"/>
        <bgColor rgb="FF000000"/>
      </patternFill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6A9BE6"/>
        <bgColor rgb="FF000000"/>
      </patternFill>
    </fill>
    <fill>
      <patternFill patternType="solid">
        <fgColor rgb="FFB2A1C7"/>
        <bgColor rgb="FFB2A1C7"/>
      </patternFill>
    </fill>
    <fill>
      <patternFill patternType="solid">
        <fgColor rgb="FFF4B084"/>
        <bgColor rgb="FF000000"/>
      </patternFill>
    </fill>
    <fill>
      <patternFill patternType="solid">
        <fgColor rgb="FF00B050"/>
        <bgColor rgb="FF00B050"/>
      </patternFill>
    </fill>
    <fill>
      <patternFill patternType="solid">
        <fgColor rgb="FF808080"/>
        <bgColor rgb="FF000000"/>
      </patternFill>
    </fill>
    <fill>
      <patternFill patternType="solid">
        <fgColor rgb="FF969696"/>
        <bgColor rgb="FF969696"/>
      </patternFill>
    </fill>
    <fill>
      <patternFill patternType="solid">
        <fgColor rgb="FFF2FC9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BD4B4"/>
        <bgColor rgb="FFFBD4B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FB3F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ED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7BCDB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1FA16"/>
        <bgColor indexed="64"/>
      </patternFill>
    </fill>
    <fill>
      <patternFill patternType="solid">
        <fgColor theme="5" tint="-0.249977111117893"/>
        <bgColor indexed="64"/>
      </patternFill>
    </fill>
  </fills>
  <borders count="1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theme="2"/>
      </left>
      <right style="medium">
        <color rgb="FF000000"/>
      </right>
      <top/>
      <bottom/>
      <diagonal/>
    </border>
    <border>
      <left style="medium">
        <color theme="2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theme="2"/>
      </top>
      <bottom style="medium">
        <color theme="2"/>
      </bottom>
      <diagonal/>
    </border>
    <border>
      <left style="medium">
        <color rgb="FF000000"/>
      </left>
      <right style="medium">
        <color rgb="FF000000"/>
      </right>
      <top style="medium">
        <color theme="2"/>
      </top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rgb="FF000000"/>
      </left>
      <right style="medium">
        <color theme="2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 style="medium">
        <color rgb="FF000000"/>
      </right>
      <top/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/>
      <bottom style="medium">
        <color rgb="FF000000"/>
      </bottom>
      <diagonal/>
    </border>
    <border>
      <left style="medium">
        <color theme="2"/>
      </left>
      <right/>
      <top/>
      <bottom style="medium">
        <color rgb="FF000000"/>
      </bottom>
      <diagonal/>
    </border>
    <border>
      <left style="medium">
        <color theme="2"/>
      </left>
      <right style="medium">
        <color theme="2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theme="2"/>
      </left>
      <right style="thin">
        <color rgb="FF000000"/>
      </right>
      <top style="thin">
        <color theme="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2"/>
      </top>
      <bottom style="thin">
        <color rgb="FF000000"/>
      </bottom>
      <diagonal/>
    </border>
    <border>
      <left style="thin">
        <color theme="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 style="medium">
        <color theme="2"/>
      </top>
      <bottom style="thin">
        <color rgb="FF000000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medium">
        <color rgb="FF000000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medium">
        <color rgb="FF000000"/>
      </bottom>
      <diagonal/>
    </border>
    <border>
      <left style="thin">
        <color theme="2"/>
      </left>
      <right/>
      <top style="thin">
        <color theme="2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3" tint="9.9978637043366805E-2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theme="3" tint="9.9978637043366805E-2"/>
      </bottom>
      <diagonal/>
    </border>
    <border>
      <left/>
      <right/>
      <top/>
      <bottom style="medium">
        <color theme="3" tint="9.9978637043366805E-2"/>
      </bottom>
      <diagonal/>
    </border>
    <border>
      <left/>
      <right style="medium">
        <color rgb="FF000000"/>
      </right>
      <top/>
      <bottom style="medium">
        <color theme="3" tint="9.9978637043366805E-2"/>
      </bottom>
      <diagonal/>
    </border>
    <border>
      <left style="medium">
        <color theme="3" tint="9.9978637043366805E-2"/>
      </left>
      <right style="medium">
        <color theme="3" tint="9.9978637043366805E-2"/>
      </right>
      <top/>
      <bottom style="medium">
        <color theme="3" tint="9.9978637043366805E-2"/>
      </bottom>
      <diagonal/>
    </border>
    <border>
      <left style="medium">
        <color theme="3" tint="9.9978637043366805E-2"/>
      </left>
      <right/>
      <top/>
      <bottom/>
      <diagonal/>
    </border>
    <border>
      <left style="thin">
        <color theme="3" tint="9.9978637043366805E-2"/>
      </left>
      <right style="thin">
        <color theme="3" tint="9.9978637043366805E-2"/>
      </right>
      <top style="thin">
        <color theme="3" tint="9.9978637043366805E-2"/>
      </top>
      <bottom style="thin">
        <color theme="3" tint="9.9978637043366805E-2"/>
      </bottom>
      <diagonal/>
    </border>
    <border>
      <left style="thin">
        <color theme="3" tint="9.9978637043366805E-2"/>
      </left>
      <right style="thin">
        <color theme="3" tint="9.9978637043366805E-2"/>
      </right>
      <top style="thin">
        <color theme="3" tint="9.9978637043366805E-2"/>
      </top>
      <bottom style="medium">
        <color theme="3" tint="9.9978637043366805E-2"/>
      </bottom>
      <diagonal/>
    </border>
    <border>
      <left style="medium">
        <color theme="3" tint="9.9978637043366805E-2"/>
      </left>
      <right style="medium">
        <color theme="3" tint="9.9978637043366805E-2"/>
      </right>
      <top style="medium">
        <color theme="3" tint="9.9978637043366805E-2"/>
      </top>
      <bottom/>
      <diagonal/>
    </border>
    <border>
      <left style="thin">
        <color theme="3" tint="9.9978637043366805E-2"/>
      </left>
      <right style="thin">
        <color theme="3" tint="9.9978637043366805E-2"/>
      </right>
      <top style="medium">
        <color theme="3" tint="9.9978637043366805E-2"/>
      </top>
      <bottom style="thin">
        <color theme="3" tint="9.9978637043366805E-2"/>
      </bottom>
      <diagonal/>
    </border>
    <border>
      <left style="thin">
        <color theme="3" tint="9.9978637043366805E-2"/>
      </left>
      <right style="medium">
        <color theme="3" tint="9.9978637043366805E-2"/>
      </right>
      <top style="medium">
        <color theme="3" tint="9.9978637043366805E-2"/>
      </top>
      <bottom style="thin">
        <color theme="3" tint="9.9978637043366805E-2"/>
      </bottom>
      <diagonal/>
    </border>
    <border>
      <left style="thin">
        <color theme="3" tint="9.9978637043366805E-2"/>
      </left>
      <right style="medium">
        <color theme="3" tint="9.9978637043366805E-2"/>
      </right>
      <top style="thin">
        <color theme="3" tint="9.9978637043366805E-2"/>
      </top>
      <bottom style="medium">
        <color theme="3" tint="9.9978637043366805E-2"/>
      </bottom>
      <diagonal/>
    </border>
    <border>
      <left style="thin">
        <color theme="3" tint="9.9978637043366805E-2"/>
      </left>
      <right/>
      <top style="medium">
        <color theme="3" tint="9.9978637043366805E-2"/>
      </top>
      <bottom style="thin">
        <color theme="3" tint="9.9978637043366805E-2"/>
      </bottom>
      <diagonal/>
    </border>
    <border>
      <left/>
      <right style="thin">
        <color theme="3" tint="9.9978637043366805E-2"/>
      </right>
      <top style="medium">
        <color theme="3" tint="9.9978637043366805E-2"/>
      </top>
      <bottom style="thin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 style="thin">
        <color theme="3" tint="9.9978637043366805E-2"/>
      </left>
      <right style="thin">
        <color theme="3" tint="9.9978637043366805E-2"/>
      </right>
      <top style="medium">
        <color theme="3" tint="9.9978637043366805E-2"/>
      </top>
      <bottom/>
      <diagonal/>
    </border>
    <border>
      <left style="thin">
        <color theme="3" tint="9.9978637043366805E-2"/>
      </left>
      <right style="medium">
        <color theme="3" tint="9.9978637043366805E-2"/>
      </right>
      <top style="medium">
        <color theme="3" tint="9.9978637043366805E-2"/>
      </top>
      <bottom/>
      <diagonal/>
    </border>
    <border>
      <left/>
      <right style="thin">
        <color theme="3" tint="9.9978637043366805E-2"/>
      </right>
      <top style="thin">
        <color theme="3" tint="9.9978637043366805E-2"/>
      </top>
      <bottom style="medium">
        <color theme="3" tint="9.9978637043366805E-2"/>
      </bottom>
      <diagonal/>
    </border>
    <border>
      <left/>
      <right style="thin">
        <color theme="3" tint="9.9978637043366805E-2"/>
      </right>
      <top style="medium">
        <color theme="3" tint="9.9978637043366805E-2"/>
      </top>
      <bottom/>
      <diagonal/>
    </border>
    <border>
      <left style="medium">
        <color theme="3" tint="9.9978637043366805E-2"/>
      </left>
      <right style="medium">
        <color theme="3" tint="9.9978637043366805E-2"/>
      </right>
      <top style="medium">
        <color theme="3" tint="9.9978637043366805E-2"/>
      </top>
      <bottom style="thin">
        <color theme="3" tint="9.9978637043366805E-2"/>
      </bottom>
      <diagonal/>
    </border>
    <border>
      <left/>
      <right/>
      <top style="medium">
        <color theme="3" tint="9.9978637043366805E-2"/>
      </top>
      <bottom style="thin">
        <color theme="3" tint="9.9978637043366805E-2"/>
      </bottom>
      <diagonal/>
    </border>
    <border>
      <left style="medium">
        <color theme="3" tint="9.9978637043366805E-2"/>
      </left>
      <right style="medium">
        <color theme="3" tint="9.9978637043366805E-2"/>
      </right>
      <top style="thin">
        <color theme="3" tint="9.9978637043366805E-2"/>
      </top>
      <bottom/>
      <diagonal/>
    </border>
    <border>
      <left/>
      <right/>
      <top style="thin">
        <color theme="3" tint="9.9978637043366805E-2"/>
      </top>
      <bottom/>
      <diagonal/>
    </border>
    <border>
      <left/>
      <right style="thin">
        <color theme="3" tint="9.9978637043366805E-2"/>
      </right>
      <top style="thin">
        <color theme="3" tint="9.9978637043366805E-2"/>
      </top>
      <bottom/>
      <diagonal/>
    </border>
    <border>
      <left style="thin">
        <color theme="3" tint="9.9978637043366805E-2"/>
      </left>
      <right style="thin">
        <color theme="3" tint="9.9978637043366805E-2"/>
      </right>
      <top style="thin">
        <color theme="3" tint="9.9978637043366805E-2"/>
      </top>
      <bottom/>
      <diagonal/>
    </border>
    <border>
      <left style="thin">
        <color theme="3" tint="9.9978637043366805E-2"/>
      </left>
      <right/>
      <top style="thin">
        <color theme="3" tint="9.9978637043366805E-2"/>
      </top>
      <bottom/>
      <diagonal/>
    </border>
    <border>
      <left style="thin">
        <color theme="3" tint="9.9978637043366805E-2"/>
      </left>
      <right style="medium">
        <color theme="3" tint="9.9978637043366805E-2"/>
      </right>
      <top style="thin">
        <color theme="3" tint="9.9978637043366805E-2"/>
      </top>
      <bottom/>
      <diagonal/>
    </border>
    <border>
      <left/>
      <right style="medium">
        <color theme="3" tint="9.9978637043366805E-2"/>
      </right>
      <top/>
      <bottom style="medium">
        <color theme="3" tint="9.9978637043366805E-2"/>
      </bottom>
      <diagonal/>
    </border>
    <border>
      <left style="medium">
        <color theme="3" tint="9.9978637043366805E-2"/>
      </left>
      <right/>
      <top/>
      <bottom style="medium">
        <color theme="3" tint="9.9978637043366805E-2"/>
      </bottom>
      <diagonal/>
    </border>
    <border>
      <left style="medium">
        <color theme="3" tint="9.9978637043366805E-2"/>
      </left>
      <right style="thin">
        <color theme="3" tint="9.9978637043366805E-2"/>
      </right>
      <top style="thin">
        <color theme="3" tint="9.9978637043366805E-2"/>
      </top>
      <bottom style="thin">
        <color theme="3" tint="9.9978637043366805E-2"/>
      </bottom>
      <diagonal/>
    </border>
    <border>
      <left style="medium">
        <color theme="3" tint="9.9978637043366805E-2"/>
      </left>
      <right style="thin">
        <color theme="3" tint="9.9978637043366805E-2"/>
      </right>
      <top style="thin">
        <color theme="3" tint="9.9978637043366805E-2"/>
      </top>
      <bottom style="medium">
        <color theme="3" tint="9.9978637043366805E-2"/>
      </bottom>
      <diagonal/>
    </border>
    <border>
      <left style="medium">
        <color theme="3" tint="9.9978637043366805E-2"/>
      </left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 style="medium">
        <color theme="3" tint="9.9978637043366805E-2"/>
      </right>
      <top style="medium">
        <color theme="3" tint="9.9978637043366805E-2"/>
      </top>
      <bottom style="medium">
        <color theme="3" tint="9.9978637043366805E-2"/>
      </bottom>
      <diagonal/>
    </border>
    <border>
      <left style="medium">
        <color theme="3" tint="9.9978637043366805E-2"/>
      </left>
      <right style="medium">
        <color theme="3" tint="9.9978637043366805E-2"/>
      </right>
      <top style="medium">
        <color theme="3" tint="9.9978637043366805E-2"/>
      </top>
      <bottom style="medium">
        <color theme="3" tint="9.9978637043366805E-2"/>
      </bottom>
      <diagonal/>
    </border>
    <border>
      <left style="medium">
        <color rgb="FF000000"/>
      </left>
      <right style="medium">
        <color theme="3" tint="9.9978637043366805E-2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theme="3" tint="9.9978637043366805E-2"/>
      </right>
      <top style="thin">
        <color rgb="FF000000"/>
      </top>
      <bottom style="medium">
        <color rgb="FF000000"/>
      </bottom>
      <diagonal/>
    </border>
    <border>
      <left style="thin">
        <color theme="3" tint="9.9978637043366805E-2"/>
      </left>
      <right style="thin">
        <color theme="3" tint="9.9978637043366805E-2"/>
      </right>
      <top/>
      <bottom/>
      <diagonal/>
    </border>
    <border>
      <left style="thin">
        <color theme="3" tint="9.9978637043366805E-2"/>
      </left>
      <right style="medium">
        <color theme="3" tint="9.9978637043366805E-2"/>
      </right>
      <top/>
      <bottom/>
      <diagonal/>
    </border>
    <border>
      <left style="thin">
        <color theme="3" tint="9.9978637043366805E-2"/>
      </left>
      <right/>
      <top style="thin">
        <color theme="3" tint="9.9978637043366805E-2"/>
      </top>
      <bottom style="thin">
        <color theme="3" tint="9.9978637043366805E-2"/>
      </bottom>
      <diagonal/>
    </border>
    <border>
      <left style="thin">
        <color theme="3" tint="9.9978637043366805E-2"/>
      </left>
      <right style="medium">
        <color theme="3" tint="9.9978637043366805E-2"/>
      </right>
      <top style="thin">
        <color theme="3" tint="9.9978637043366805E-2"/>
      </top>
      <bottom style="thin">
        <color theme="3" tint="9.9978637043366805E-2"/>
      </bottom>
      <diagonal/>
    </border>
    <border>
      <left style="medium">
        <color rgb="FF000000"/>
      </left>
      <right style="medium">
        <color rgb="FF000000"/>
      </right>
      <top style="medium">
        <color theme="3" tint="9.9978637043366805E-2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theme="3" tint="9.9978637043366805E-2"/>
      </bottom>
      <diagonal/>
    </border>
    <border>
      <left style="thin">
        <color rgb="FF000000"/>
      </left>
      <right/>
      <top/>
      <bottom style="medium">
        <color theme="3" tint="9.9978637043366805E-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3" tint="9.9978637043366805E-2"/>
      </bottom>
      <diagonal/>
    </border>
    <border>
      <left style="medium">
        <color theme="3" tint="9.9978637043366805E-2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theme="3" tint="9.9978637043366805E-2"/>
      </top>
      <bottom/>
      <diagonal/>
    </border>
    <border>
      <left style="medium">
        <color theme="3" tint="9.9978637043366805E-2"/>
      </left>
      <right style="thin">
        <color theme="3" tint="9.9978637043366805E-2"/>
      </right>
      <top style="thin">
        <color theme="3" tint="9.9978637043366805E-2"/>
      </top>
      <bottom/>
      <diagonal/>
    </border>
    <border>
      <left style="medium">
        <color theme="3" tint="9.9978637043366805E-2"/>
      </left>
      <right/>
      <top style="thin">
        <color theme="3" tint="9.9978637043366805E-2"/>
      </top>
      <bottom style="thin">
        <color theme="3" tint="9.9978637043366805E-2"/>
      </bottom>
      <diagonal/>
    </border>
    <border>
      <left style="medium">
        <color theme="3" tint="9.9978637043366805E-2"/>
      </left>
      <right style="medium">
        <color theme="3" tint="9.9978637043366805E-2"/>
      </right>
      <top style="thin">
        <color theme="3" tint="9.9978637043366805E-2"/>
      </top>
      <bottom style="thin">
        <color theme="3" tint="9.9978637043366805E-2"/>
      </bottom>
      <diagonal/>
    </border>
    <border>
      <left style="medium">
        <color theme="3" tint="9.9978637043366805E-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theme="3" tint="9.9978637043366805E-2"/>
      </left>
      <right style="thin">
        <color rgb="FF000000"/>
      </right>
      <top/>
      <bottom style="thin">
        <color rgb="FF000000"/>
      </bottom>
      <diagonal/>
    </border>
    <border>
      <left style="medium">
        <color theme="3" tint="9.9978637043366805E-2"/>
      </left>
      <right style="thin">
        <color rgb="FF000000"/>
      </right>
      <top/>
      <bottom/>
      <diagonal/>
    </border>
    <border>
      <left style="medium">
        <color theme="3" tint="9.9978637043366805E-2"/>
      </left>
      <right style="thin">
        <color rgb="FF000000"/>
      </right>
      <top/>
      <bottom style="medium">
        <color theme="3" tint="9.9978637043366805E-2"/>
      </bottom>
      <diagonal/>
    </border>
    <border>
      <left style="thin">
        <color theme="2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58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4" fillId="0" borderId="2" xfId="0" applyFont="1" applyBorder="1"/>
    <xf numFmtId="0" fontId="3" fillId="0" borderId="3" xfId="0" applyFont="1" applyBorder="1"/>
    <xf numFmtId="0" fontId="5" fillId="2" borderId="2" xfId="0" applyFont="1" applyFill="1" applyBorder="1"/>
    <xf numFmtId="0" fontId="3" fillId="3" borderId="2" xfId="0" applyFont="1" applyFill="1" applyBorder="1"/>
    <xf numFmtId="0" fontId="6" fillId="3" borderId="2" xfId="0" applyFont="1" applyFill="1" applyBorder="1" applyAlignment="1">
      <alignment horizontal="right"/>
    </xf>
    <xf numFmtId="0" fontId="6" fillId="3" borderId="2" xfId="0" applyFont="1" applyFill="1" applyBorder="1"/>
    <xf numFmtId="0" fontId="5" fillId="3" borderId="2" xfId="0" applyFont="1" applyFill="1" applyBorder="1"/>
    <xf numFmtId="0" fontId="6" fillId="3" borderId="4" xfId="0" applyFont="1" applyFill="1" applyBorder="1"/>
    <xf numFmtId="0" fontId="0" fillId="0" borderId="2" xfId="0" applyBorder="1"/>
    <xf numFmtId="16" fontId="5" fillId="2" borderId="2" xfId="0" applyNumberFormat="1" applyFont="1" applyFill="1" applyBorder="1"/>
    <xf numFmtId="0" fontId="7" fillId="4" borderId="2" xfId="0" applyFont="1" applyFill="1" applyBorder="1"/>
    <xf numFmtId="0" fontId="8" fillId="4" borderId="2" xfId="0" applyFont="1" applyFill="1" applyBorder="1" applyAlignment="1">
      <alignment horizontal="right"/>
    </xf>
    <xf numFmtId="0" fontId="8" fillId="4" borderId="2" xfId="0" applyFont="1" applyFill="1" applyBorder="1"/>
    <xf numFmtId="0" fontId="9" fillId="5" borderId="2" xfId="0" applyFont="1" applyFill="1" applyBorder="1"/>
    <xf numFmtId="0" fontId="6" fillId="6" borderId="2" xfId="0" applyFont="1" applyFill="1" applyBorder="1"/>
    <xf numFmtId="0" fontId="6" fillId="0" borderId="2" xfId="0" applyFont="1" applyBorder="1"/>
    <xf numFmtId="0" fontId="3" fillId="5" borderId="2" xfId="0" applyFont="1" applyFill="1" applyBorder="1"/>
    <xf numFmtId="0" fontId="6" fillId="5" borderId="2" xfId="0" applyFont="1" applyFill="1" applyBorder="1" applyAlignment="1">
      <alignment horizontal="right"/>
    </xf>
    <xf numFmtId="0" fontId="6" fillId="5" borderId="2" xfId="0" applyFont="1" applyFill="1" applyBorder="1"/>
    <xf numFmtId="0" fontId="10" fillId="0" borderId="2" xfId="0" applyFont="1" applyBorder="1"/>
    <xf numFmtId="0" fontId="6" fillId="0" borderId="4" xfId="0" applyFont="1" applyBorder="1"/>
    <xf numFmtId="0" fontId="11" fillId="3" borderId="2" xfId="0" applyFont="1" applyFill="1" applyBorder="1"/>
    <xf numFmtId="0" fontId="10" fillId="4" borderId="2" xfId="0" applyFont="1" applyFill="1" applyBorder="1"/>
    <xf numFmtId="0" fontId="6" fillId="7" borderId="2" xfId="0" applyFont="1" applyFill="1" applyBorder="1"/>
    <xf numFmtId="0" fontId="12" fillId="5" borderId="2" xfId="0" applyFont="1" applyFill="1" applyBorder="1"/>
    <xf numFmtId="0" fontId="13" fillId="5" borderId="2" xfId="0" applyFont="1" applyFill="1" applyBorder="1"/>
    <xf numFmtId="0" fontId="5" fillId="2" borderId="3" xfId="0" applyFont="1" applyFill="1" applyBorder="1"/>
    <xf numFmtId="0" fontId="3" fillId="3" borderId="3" xfId="0" applyFont="1" applyFill="1" applyBorder="1"/>
    <xf numFmtId="0" fontId="6" fillId="3" borderId="3" xfId="0" applyFont="1" applyFill="1" applyBorder="1" applyAlignment="1">
      <alignment horizontal="right"/>
    </xf>
    <xf numFmtId="0" fontId="6" fillId="3" borderId="3" xfId="0" applyFont="1" applyFill="1" applyBorder="1"/>
    <xf numFmtId="0" fontId="11" fillId="3" borderId="3" xfId="0" applyFont="1" applyFill="1" applyBorder="1"/>
    <xf numFmtId="0" fontId="5" fillId="3" borderId="3" xfId="0" applyFont="1" applyFill="1" applyBorder="1"/>
    <xf numFmtId="0" fontId="6" fillId="3" borderId="5" xfId="0" applyFont="1" applyFill="1" applyBorder="1"/>
    <xf numFmtId="0" fontId="8" fillId="0" borderId="2" xfId="0" applyFont="1" applyBorder="1" applyAlignment="1">
      <alignment horizontal="right"/>
    </xf>
    <xf numFmtId="0" fontId="8" fillId="0" borderId="2" xfId="0" applyFont="1" applyBorder="1"/>
    <xf numFmtId="0" fontId="5" fillId="0" borderId="2" xfId="0" applyFont="1" applyBorder="1"/>
    <xf numFmtId="0" fontId="14" fillId="0" borderId="2" xfId="0" applyFont="1" applyBorder="1"/>
    <xf numFmtId="16" fontId="5" fillId="8" borderId="2" xfId="0" applyNumberFormat="1" applyFont="1" applyFill="1" applyBorder="1"/>
    <xf numFmtId="0" fontId="15" fillId="4" borderId="2" xfId="0" applyFont="1" applyFill="1" applyBorder="1"/>
    <xf numFmtId="0" fontId="16" fillId="0" borderId="6" xfId="0" applyFont="1" applyBorder="1"/>
    <xf numFmtId="0" fontId="6" fillId="8" borderId="7" xfId="0" applyFont="1" applyFill="1" applyBorder="1"/>
    <xf numFmtId="16" fontId="5" fillId="8" borderId="6" xfId="0" applyNumberFormat="1" applyFont="1" applyFill="1" applyBorder="1"/>
    <xf numFmtId="0" fontId="5" fillId="8" borderId="6" xfId="0" applyFont="1" applyFill="1" applyBorder="1"/>
    <xf numFmtId="0" fontId="6" fillId="8" borderId="6" xfId="0" applyFont="1" applyFill="1" applyBorder="1"/>
    <xf numFmtId="0" fontId="0" fillId="8" borderId="2" xfId="0" applyFill="1" applyBorder="1"/>
    <xf numFmtId="0" fontId="3" fillId="10" borderId="2" xfId="0" applyFont="1" applyFill="1" applyBorder="1"/>
    <xf numFmtId="0" fontId="6" fillId="10" borderId="2" xfId="0" applyFont="1" applyFill="1" applyBorder="1" applyAlignment="1">
      <alignment horizontal="right"/>
    </xf>
    <xf numFmtId="0" fontId="6" fillId="11" borderId="2" xfId="0" applyFont="1" applyFill="1" applyBorder="1"/>
    <xf numFmtId="0" fontId="11" fillId="10" borderId="2" xfId="0" applyFont="1" applyFill="1" applyBorder="1"/>
    <xf numFmtId="0" fontId="6" fillId="10" borderId="2" xfId="0" applyFont="1" applyFill="1" applyBorder="1"/>
    <xf numFmtId="0" fontId="3" fillId="12" borderId="2" xfId="0" applyFont="1" applyFill="1" applyBorder="1"/>
    <xf numFmtId="0" fontId="6" fillId="12" borderId="2" xfId="0" applyFont="1" applyFill="1" applyBorder="1" applyAlignment="1">
      <alignment horizontal="right"/>
    </xf>
    <xf numFmtId="0" fontId="6" fillId="12" borderId="2" xfId="0" applyFont="1" applyFill="1" applyBorder="1"/>
    <xf numFmtId="0" fontId="3" fillId="13" borderId="2" xfId="0" applyFont="1" applyFill="1" applyBorder="1"/>
    <xf numFmtId="0" fontId="6" fillId="13" borderId="2" xfId="0" applyFont="1" applyFill="1" applyBorder="1" applyAlignment="1">
      <alignment horizontal="right"/>
    </xf>
    <xf numFmtId="0" fontId="6" fillId="13" borderId="2" xfId="0" applyFont="1" applyFill="1" applyBorder="1"/>
    <xf numFmtId="0" fontId="11" fillId="13" borderId="2" xfId="0" applyFont="1" applyFill="1" applyBorder="1"/>
    <xf numFmtId="0" fontId="6" fillId="13" borderId="3" xfId="0" applyFont="1" applyFill="1" applyBorder="1"/>
    <xf numFmtId="0" fontId="3" fillId="14" borderId="2" xfId="0" applyFont="1" applyFill="1" applyBorder="1"/>
    <xf numFmtId="0" fontId="6" fillId="14" borderId="2" xfId="0" applyFont="1" applyFill="1" applyBorder="1" applyAlignment="1">
      <alignment horizontal="right"/>
    </xf>
    <xf numFmtId="0" fontId="6" fillId="14" borderId="2" xfId="0" applyFont="1" applyFill="1" applyBorder="1"/>
    <xf numFmtId="0" fontId="10" fillId="14" borderId="2" xfId="0" applyFont="1" applyFill="1" applyBorder="1"/>
    <xf numFmtId="0" fontId="11" fillId="14" borderId="2" xfId="0" applyFont="1" applyFill="1" applyBorder="1"/>
    <xf numFmtId="0" fontId="3" fillId="15" borderId="6" xfId="0" applyFont="1" applyFill="1" applyBorder="1"/>
    <xf numFmtId="0" fontId="6" fillId="15" borderId="6" xfId="0" applyFont="1" applyFill="1" applyBorder="1" applyAlignment="1">
      <alignment horizontal="right"/>
    </xf>
    <xf numFmtId="0" fontId="6" fillId="15" borderId="6" xfId="0" applyFont="1" applyFill="1" applyBorder="1"/>
    <xf numFmtId="0" fontId="11" fillId="15" borderId="2" xfId="0" applyFont="1" applyFill="1" applyBorder="1"/>
    <xf numFmtId="0" fontId="5" fillId="15" borderId="8" xfId="0" applyFont="1" applyFill="1" applyBorder="1"/>
    <xf numFmtId="0" fontId="6" fillId="15" borderId="7" xfId="0" applyFont="1" applyFill="1" applyBorder="1"/>
    <xf numFmtId="16" fontId="5" fillId="2" borderId="6" xfId="0" applyNumberFormat="1" applyFont="1" applyFill="1" applyBorder="1"/>
    <xf numFmtId="0" fontId="17" fillId="16" borderId="6" xfId="0" applyFont="1" applyFill="1" applyBorder="1" applyAlignment="1">
      <alignment horizontal="right"/>
    </xf>
    <xf numFmtId="0" fontId="17" fillId="16" borderId="6" xfId="0" applyFont="1" applyFill="1" applyBorder="1"/>
    <xf numFmtId="0" fontId="16" fillId="16" borderId="7" xfId="0" applyFont="1" applyFill="1" applyBorder="1"/>
    <xf numFmtId="0" fontId="17" fillId="16" borderId="7" xfId="0" applyFont="1" applyFill="1" applyBorder="1"/>
    <xf numFmtId="0" fontId="17" fillId="2" borderId="6" xfId="0" applyFont="1" applyFill="1" applyBorder="1"/>
    <xf numFmtId="0" fontId="17" fillId="0" borderId="6" xfId="0" applyFont="1" applyBorder="1"/>
    <xf numFmtId="0" fontId="17" fillId="0" borderId="7" xfId="0" applyFont="1" applyBorder="1"/>
    <xf numFmtId="0" fontId="7" fillId="17" borderId="2" xfId="0" applyFont="1" applyFill="1" applyBorder="1"/>
    <xf numFmtId="0" fontId="8" fillId="17" borderId="2" xfId="0" applyFont="1" applyFill="1" applyBorder="1" applyAlignment="1">
      <alignment horizontal="right"/>
    </xf>
    <xf numFmtId="0" fontId="8" fillId="17" borderId="2" xfId="0" applyFont="1" applyFill="1" applyBorder="1"/>
    <xf numFmtId="0" fontId="10" fillId="17" borderId="4" xfId="0" applyFont="1" applyFill="1" applyBorder="1"/>
    <xf numFmtId="0" fontId="8" fillId="17" borderId="4" xfId="0" applyFont="1" applyFill="1" applyBorder="1"/>
    <xf numFmtId="0" fontId="17" fillId="2" borderId="2" xfId="0" applyFont="1" applyFill="1" applyBorder="1"/>
    <xf numFmtId="0" fontId="3" fillId="18" borderId="2" xfId="0" applyFont="1" applyFill="1" applyBorder="1"/>
    <xf numFmtId="0" fontId="6" fillId="18" borderId="2" xfId="0" applyFont="1" applyFill="1" applyBorder="1" applyAlignment="1">
      <alignment horizontal="right"/>
    </xf>
    <xf numFmtId="0" fontId="6" fillId="18" borderId="2" xfId="0" applyFont="1" applyFill="1" applyBorder="1"/>
    <xf numFmtId="0" fontId="11" fillId="18" borderId="2" xfId="0" applyFont="1" applyFill="1" applyBorder="1"/>
    <xf numFmtId="0" fontId="17" fillId="8" borderId="6" xfId="0" applyFont="1" applyFill="1" applyBorder="1"/>
    <xf numFmtId="0" fontId="5" fillId="3" borderId="6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16" fontId="18" fillId="2" borderId="2" xfId="0" applyNumberFormat="1" applyFont="1" applyFill="1" applyBorder="1"/>
    <xf numFmtId="0" fontId="6" fillId="19" borderId="2" xfId="0" applyFont="1" applyFill="1" applyBorder="1"/>
    <xf numFmtId="0" fontId="11" fillId="0" borderId="0" xfId="0" applyFont="1"/>
    <xf numFmtId="0" fontId="9" fillId="2" borderId="2" xfId="0" applyFont="1" applyFill="1" applyBorder="1"/>
    <xf numFmtId="0" fontId="17" fillId="0" borderId="0" xfId="0" applyFont="1"/>
    <xf numFmtId="0" fontId="6" fillId="0" borderId="3" xfId="0" applyFont="1" applyBorder="1"/>
    <xf numFmtId="0" fontId="6" fillId="0" borderId="5" xfId="0" applyFont="1" applyBorder="1"/>
    <xf numFmtId="0" fontId="5" fillId="2" borderId="4" xfId="0" applyFont="1" applyFill="1" applyBorder="1"/>
    <xf numFmtId="0" fontId="11" fillId="0" borderId="2" xfId="0" applyFont="1" applyBorder="1"/>
    <xf numFmtId="0" fontId="11" fillId="0" borderId="4" xfId="0" applyFont="1" applyBorder="1"/>
    <xf numFmtId="0" fontId="11" fillId="14" borderId="0" xfId="0" applyFont="1" applyFill="1"/>
    <xf numFmtId="0" fontId="6" fillId="3" borderId="10" xfId="0" applyFont="1" applyFill="1" applyBorder="1"/>
    <xf numFmtId="0" fontId="6" fillId="3" borderId="11" xfId="0" applyFont="1" applyFill="1" applyBorder="1"/>
    <xf numFmtId="16" fontId="18" fillId="8" borderId="2" xfId="0" applyNumberFormat="1" applyFont="1" applyFill="1" applyBorder="1"/>
    <xf numFmtId="0" fontId="7" fillId="4" borderId="6" xfId="0" applyFont="1" applyFill="1" applyBorder="1"/>
    <xf numFmtId="0" fontId="8" fillId="4" borderId="6" xfId="0" applyFont="1" applyFill="1" applyBorder="1" applyAlignment="1">
      <alignment horizontal="right"/>
    </xf>
    <xf numFmtId="0" fontId="8" fillId="4" borderId="6" xfId="0" applyFont="1" applyFill="1" applyBorder="1"/>
    <xf numFmtId="0" fontId="6" fillId="6" borderId="6" xfId="0" applyFont="1" applyFill="1" applyBorder="1"/>
    <xf numFmtId="0" fontId="5" fillId="2" borderId="7" xfId="0" applyFont="1" applyFill="1" applyBorder="1"/>
    <xf numFmtId="0" fontId="5" fillId="8" borderId="7" xfId="0" applyFont="1" applyFill="1" applyBorder="1"/>
    <xf numFmtId="0" fontId="5" fillId="8" borderId="11" xfId="0" applyFont="1" applyFill="1" applyBorder="1"/>
    <xf numFmtId="0" fontId="3" fillId="15" borderId="12" xfId="0" applyFont="1" applyFill="1" applyBorder="1"/>
    <xf numFmtId="0" fontId="11" fillId="15" borderId="0" xfId="0" applyFont="1" applyFill="1"/>
    <xf numFmtId="0" fontId="5" fillId="2" borderId="6" xfId="0" applyFont="1" applyFill="1" applyBorder="1"/>
    <xf numFmtId="0" fontId="6" fillId="0" borderId="6" xfId="0" applyFont="1" applyBorder="1"/>
    <xf numFmtId="0" fontId="6" fillId="0" borderId="7" xfId="0" applyFont="1" applyBorder="1"/>
    <xf numFmtId="16" fontId="18" fillId="0" borderId="2" xfId="0" applyNumberFormat="1" applyFont="1" applyBorder="1"/>
    <xf numFmtId="0" fontId="3" fillId="16" borderId="8" xfId="0" applyFont="1" applyFill="1" applyBorder="1"/>
    <xf numFmtId="0" fontId="0" fillId="0" borderId="6" xfId="0" applyBorder="1"/>
    <xf numFmtId="0" fontId="7" fillId="4" borderId="8" xfId="0" applyFont="1" applyFill="1" applyBorder="1"/>
    <xf numFmtId="0" fontId="17" fillId="8" borderId="2" xfId="0" applyFont="1" applyFill="1" applyBorder="1"/>
    <xf numFmtId="0" fontId="6" fillId="8" borderId="4" xfId="0" applyFont="1" applyFill="1" applyBorder="1"/>
    <xf numFmtId="0" fontId="8" fillId="2" borderId="2" xfId="0" applyFont="1" applyFill="1" applyBorder="1" applyAlignment="1">
      <alignment horizontal="right"/>
    </xf>
    <xf numFmtId="0" fontId="6" fillId="2" borderId="2" xfId="0" applyFont="1" applyFill="1" applyBorder="1"/>
    <xf numFmtId="0" fontId="6" fillId="2" borderId="4" xfId="0" applyFont="1" applyFill="1" applyBorder="1"/>
    <xf numFmtId="0" fontId="11" fillId="13" borderId="3" xfId="0" applyFont="1" applyFill="1" applyBorder="1"/>
    <xf numFmtId="0" fontId="5" fillId="2" borderId="13" xfId="0" applyFont="1" applyFill="1" applyBorder="1"/>
    <xf numFmtId="0" fontId="3" fillId="20" borderId="2" xfId="0" applyFont="1" applyFill="1" applyBorder="1"/>
    <xf numFmtId="0" fontId="6" fillId="20" borderId="2" xfId="0" applyFont="1" applyFill="1" applyBorder="1" applyAlignment="1">
      <alignment horizontal="right"/>
    </xf>
    <xf numFmtId="0" fontId="6" fillId="20" borderId="2" xfId="0" applyFont="1" applyFill="1" applyBorder="1"/>
    <xf numFmtId="0" fontId="11" fillId="20" borderId="0" xfId="0" applyFont="1" applyFill="1"/>
    <xf numFmtId="0" fontId="6" fillId="20" borderId="0" xfId="0" applyFont="1" applyFill="1"/>
    <xf numFmtId="0" fontId="5" fillId="20" borderId="2" xfId="0" applyFont="1" applyFill="1" applyBorder="1"/>
    <xf numFmtId="0" fontId="6" fillId="20" borderId="4" xfId="0" applyFont="1" applyFill="1" applyBorder="1"/>
    <xf numFmtId="0" fontId="3" fillId="16" borderId="2" xfId="0" applyFont="1" applyFill="1" applyBorder="1"/>
    <xf numFmtId="0" fontId="17" fillId="16" borderId="2" xfId="0" applyFont="1" applyFill="1" applyBorder="1" applyAlignment="1">
      <alignment horizontal="right"/>
    </xf>
    <xf numFmtId="0" fontId="17" fillId="16" borderId="2" xfId="0" applyFont="1" applyFill="1" applyBorder="1"/>
    <xf numFmtId="0" fontId="16" fillId="16" borderId="2" xfId="0" applyFont="1" applyFill="1" applyBorder="1"/>
    <xf numFmtId="0" fontId="17" fillId="2" borderId="3" xfId="0" applyFont="1" applyFill="1" applyBorder="1"/>
    <xf numFmtId="0" fontId="17" fillId="2" borderId="5" xfId="0" applyFont="1" applyFill="1" applyBorder="1"/>
    <xf numFmtId="0" fontId="0" fillId="0" borderId="4" xfId="0" applyBorder="1"/>
    <xf numFmtId="16" fontId="5" fillId="2" borderId="4" xfId="0" applyNumberFormat="1" applyFont="1" applyFill="1" applyBorder="1"/>
    <xf numFmtId="0" fontId="5" fillId="20" borderId="6" xfId="0" applyFont="1" applyFill="1" applyBorder="1"/>
    <xf numFmtId="0" fontId="6" fillId="20" borderId="6" xfId="0" applyFont="1" applyFill="1" applyBorder="1"/>
    <xf numFmtId="0" fontId="6" fillId="20" borderId="11" xfId="0" applyFont="1" applyFill="1" applyBorder="1"/>
    <xf numFmtId="16" fontId="18" fillId="2" borderId="3" xfId="0" applyNumberFormat="1" applyFont="1" applyFill="1" applyBorder="1"/>
    <xf numFmtId="0" fontId="8" fillId="4" borderId="3" xfId="0" applyFont="1" applyFill="1" applyBorder="1"/>
    <xf numFmtId="0" fontId="5" fillId="5" borderId="13" xfId="0" applyFont="1" applyFill="1" applyBorder="1"/>
    <xf numFmtId="0" fontId="6" fillId="19" borderId="4" xfId="0" applyFont="1" applyFill="1" applyBorder="1"/>
    <xf numFmtId="16" fontId="5" fillId="2" borderId="3" xfId="0" applyNumberFormat="1" applyFont="1" applyFill="1" applyBorder="1"/>
    <xf numFmtId="0" fontId="7" fillId="4" borderId="13" xfId="0" applyFont="1" applyFill="1" applyBorder="1"/>
    <xf numFmtId="0" fontId="11" fillId="12" borderId="2" xfId="0" applyFont="1" applyFill="1" applyBorder="1"/>
    <xf numFmtId="0" fontId="6" fillId="5" borderId="4" xfId="0" applyFont="1" applyFill="1" applyBorder="1"/>
    <xf numFmtId="0" fontId="3" fillId="5" borderId="13" xfId="0" applyFont="1" applyFill="1" applyBorder="1"/>
    <xf numFmtId="0" fontId="8" fillId="2" borderId="2" xfId="0" applyFont="1" applyFill="1" applyBorder="1"/>
    <xf numFmtId="0" fontId="7" fillId="5" borderId="13" xfId="0" applyFont="1" applyFill="1" applyBorder="1"/>
    <xf numFmtId="0" fontId="17" fillId="0" borderId="2" xfId="0" applyFont="1" applyBorder="1"/>
    <xf numFmtId="0" fontId="11" fillId="3" borderId="10" xfId="0" applyFont="1" applyFill="1" applyBorder="1"/>
    <xf numFmtId="0" fontId="5" fillId="21" borderId="6" xfId="0" applyFont="1" applyFill="1" applyBorder="1"/>
    <xf numFmtId="16" fontId="18" fillId="0" borderId="5" xfId="0" applyNumberFormat="1" applyFont="1" applyBorder="1"/>
    <xf numFmtId="0" fontId="8" fillId="0" borderId="4" xfId="0" applyFont="1" applyBorder="1"/>
    <xf numFmtId="0" fontId="7" fillId="0" borderId="8" xfId="0" applyFont="1" applyBorder="1"/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0" fontId="21" fillId="0" borderId="2" xfId="0" applyFont="1" applyBorder="1"/>
    <xf numFmtId="0" fontId="7" fillId="5" borderId="2" xfId="0" applyFont="1" applyFill="1" applyBorder="1"/>
    <xf numFmtId="0" fontId="8" fillId="5" borderId="2" xfId="0" applyFont="1" applyFill="1" applyBorder="1" applyAlignment="1">
      <alignment horizontal="right"/>
    </xf>
    <xf numFmtId="0" fontId="8" fillId="5" borderId="2" xfId="0" applyFont="1" applyFill="1" applyBorder="1"/>
    <xf numFmtId="0" fontId="22" fillId="5" borderId="2" xfId="0" applyFont="1" applyFill="1" applyBorder="1"/>
    <xf numFmtId="0" fontId="21" fillId="5" borderId="2" xfId="0" applyFont="1" applyFill="1" applyBorder="1"/>
    <xf numFmtId="0" fontId="21" fillId="2" borderId="2" xfId="0" applyFont="1" applyFill="1" applyBorder="1"/>
    <xf numFmtId="0" fontId="7" fillId="10" borderId="2" xfId="0" applyFont="1" applyFill="1" applyBorder="1"/>
    <xf numFmtId="0" fontId="8" fillId="10" borderId="2" xfId="0" applyFont="1" applyFill="1" applyBorder="1" applyAlignment="1">
      <alignment horizontal="right"/>
    </xf>
    <xf numFmtId="0" fontId="8" fillId="11" borderId="2" xfId="0" applyFont="1" applyFill="1" applyBorder="1"/>
    <xf numFmtId="0" fontId="10" fillId="10" borderId="2" xfId="0" applyFont="1" applyFill="1" applyBorder="1"/>
    <xf numFmtId="0" fontId="8" fillId="10" borderId="2" xfId="0" applyFont="1" applyFill="1" applyBorder="1"/>
    <xf numFmtId="0" fontId="23" fillId="2" borderId="2" xfId="0" applyFont="1" applyFill="1" applyBorder="1"/>
    <xf numFmtId="0" fontId="6" fillId="13" borderId="0" xfId="0" applyFont="1" applyFill="1"/>
    <xf numFmtId="0" fontId="11" fillId="3" borderId="6" xfId="0" applyFont="1" applyFill="1" applyBorder="1"/>
    <xf numFmtId="0" fontId="3" fillId="21" borderId="2" xfId="0" applyFont="1" applyFill="1" applyBorder="1"/>
    <xf numFmtId="0" fontId="6" fillId="21" borderId="2" xfId="0" applyFont="1" applyFill="1" applyBorder="1" applyAlignment="1">
      <alignment horizontal="right"/>
    </xf>
    <xf numFmtId="0" fontId="6" fillId="21" borderId="2" xfId="0" applyFont="1" applyFill="1" applyBorder="1"/>
    <xf numFmtId="0" fontId="11" fillId="21" borderId="2" xfId="0" applyFont="1" applyFill="1" applyBorder="1"/>
    <xf numFmtId="0" fontId="5" fillId="21" borderId="2" xfId="0" applyFont="1" applyFill="1" applyBorder="1"/>
    <xf numFmtId="0" fontId="6" fillId="21" borderId="4" xfId="0" applyFont="1" applyFill="1" applyBorder="1"/>
    <xf numFmtId="0" fontId="6" fillId="21" borderId="3" xfId="0" applyFont="1" applyFill="1" applyBorder="1"/>
    <xf numFmtId="0" fontId="6" fillId="0" borderId="13" xfId="0" applyFont="1" applyBorder="1"/>
    <xf numFmtId="0" fontId="8" fillId="4" borderId="13" xfId="0" applyFont="1" applyFill="1" applyBorder="1"/>
    <xf numFmtId="0" fontId="11" fillId="20" borderId="2" xfId="0" applyFont="1" applyFill="1" applyBorder="1"/>
    <xf numFmtId="0" fontId="7" fillId="22" borderId="13" xfId="0" applyFont="1" applyFill="1" applyBorder="1"/>
    <xf numFmtId="0" fontId="8" fillId="22" borderId="2" xfId="0" applyFont="1" applyFill="1" applyBorder="1"/>
    <xf numFmtId="0" fontId="6" fillId="23" borderId="2" xfId="0" applyFont="1" applyFill="1" applyBorder="1"/>
    <xf numFmtId="0" fontId="0" fillId="0" borderId="14" xfId="0" applyBorder="1"/>
    <xf numFmtId="0" fontId="8" fillId="22" borderId="2" xfId="0" applyFont="1" applyFill="1" applyBorder="1" applyAlignment="1">
      <alignment horizontal="right"/>
    </xf>
    <xf numFmtId="16" fontId="6" fillId="2" borderId="4" xfId="0" applyNumberFormat="1" applyFont="1" applyFill="1" applyBorder="1"/>
    <xf numFmtId="0" fontId="7" fillId="2" borderId="2" xfId="0" applyFont="1" applyFill="1" applyBorder="1"/>
    <xf numFmtId="0" fontId="20" fillId="2" borderId="2" xfId="0" applyFont="1" applyFill="1" applyBorder="1"/>
    <xf numFmtId="0" fontId="8" fillId="2" borderId="4" xfId="0" applyFont="1" applyFill="1" applyBorder="1"/>
    <xf numFmtId="0" fontId="22" fillId="2" borderId="2" xfId="0" applyFont="1" applyFill="1" applyBorder="1"/>
    <xf numFmtId="0" fontId="7" fillId="11" borderId="2" xfId="0" applyFont="1" applyFill="1" applyBorder="1"/>
    <xf numFmtId="0" fontId="8" fillId="11" borderId="2" xfId="0" applyFont="1" applyFill="1" applyBorder="1" applyAlignment="1">
      <alignment horizontal="right"/>
    </xf>
    <xf numFmtId="0" fontId="10" fillId="11" borderId="2" xfId="0" applyFont="1" applyFill="1" applyBorder="1"/>
    <xf numFmtId="0" fontId="23" fillId="2" borderId="3" xfId="0" applyFont="1" applyFill="1" applyBorder="1"/>
    <xf numFmtId="0" fontId="11" fillId="21" borderId="6" xfId="0" applyFont="1" applyFill="1" applyBorder="1"/>
    <xf numFmtId="0" fontId="6" fillId="21" borderId="6" xfId="0" applyFont="1" applyFill="1" applyBorder="1"/>
    <xf numFmtId="0" fontId="3" fillId="16" borderId="13" xfId="0" applyFont="1" applyFill="1" applyBorder="1"/>
    <xf numFmtId="0" fontId="3" fillId="21" borderId="13" xfId="0" applyFont="1" applyFill="1" applyBorder="1"/>
    <xf numFmtId="0" fontId="19" fillId="22" borderId="2" xfId="0" applyFont="1" applyFill="1" applyBorder="1"/>
    <xf numFmtId="0" fontId="7" fillId="0" borderId="13" xfId="0" applyFont="1" applyBorder="1"/>
    <xf numFmtId="0" fontId="10" fillId="22" borderId="2" xfId="0" applyFont="1" applyFill="1" applyBorder="1" applyAlignment="1">
      <alignment horizontal="right"/>
    </xf>
    <xf numFmtId="0" fontId="10" fillId="22" borderId="2" xfId="0" applyFont="1" applyFill="1" applyBorder="1"/>
    <xf numFmtId="0" fontId="18" fillId="2" borderId="2" xfId="0" applyFont="1" applyFill="1" applyBorder="1"/>
    <xf numFmtId="0" fontId="11" fillId="2" borderId="4" xfId="0" applyFont="1" applyFill="1" applyBorder="1"/>
    <xf numFmtId="0" fontId="20" fillId="5" borderId="2" xfId="0" applyFont="1" applyFill="1" applyBorder="1"/>
    <xf numFmtId="0" fontId="23" fillId="0" borderId="2" xfId="0" applyFont="1" applyBorder="1"/>
    <xf numFmtId="16" fontId="18" fillId="2" borderId="10" xfId="0" applyNumberFormat="1" applyFont="1" applyFill="1" applyBorder="1"/>
    <xf numFmtId="0" fontId="7" fillId="22" borderId="2" xfId="0" applyFont="1" applyFill="1" applyBorder="1"/>
    <xf numFmtId="0" fontId="0" fillId="0" borderId="3" xfId="0" applyBorder="1"/>
    <xf numFmtId="0" fontId="17" fillId="2" borderId="0" xfId="0" applyFont="1" applyFill="1"/>
    <xf numFmtId="0" fontId="10" fillId="14" borderId="4" xfId="0" applyFont="1" applyFill="1" applyBorder="1"/>
    <xf numFmtId="0" fontId="24" fillId="22" borderId="0" xfId="0" applyFont="1" applyFill="1"/>
    <xf numFmtId="0" fontId="6" fillId="21" borderId="5" xfId="0" applyFont="1" applyFill="1" applyBorder="1"/>
    <xf numFmtId="0" fontId="6" fillId="0" borderId="1" xfId="0" applyFont="1" applyBorder="1"/>
    <xf numFmtId="0" fontId="6" fillId="0" borderId="16" xfId="0" applyFont="1" applyBorder="1"/>
    <xf numFmtId="0" fontId="6" fillId="0" borderId="17" xfId="0" applyFont="1" applyBorder="1"/>
    <xf numFmtId="0" fontId="11" fillId="21" borderId="3" xfId="0" applyFont="1" applyFill="1" applyBorder="1"/>
    <xf numFmtId="0" fontId="6" fillId="21" borderId="17" xfId="0" applyFont="1" applyFill="1" applyBorder="1"/>
    <xf numFmtId="0" fontId="3" fillId="22" borderId="2" xfId="0" applyFont="1" applyFill="1" applyBorder="1"/>
    <xf numFmtId="0" fontId="6" fillId="22" borderId="2" xfId="0" applyFont="1" applyFill="1" applyBorder="1" applyAlignment="1">
      <alignment horizontal="right"/>
    </xf>
    <xf numFmtId="0" fontId="6" fillId="22" borderId="2" xfId="0" applyFont="1" applyFill="1" applyBorder="1"/>
    <xf numFmtId="0" fontId="6" fillId="22" borderId="3" xfId="0" applyFont="1" applyFill="1" applyBorder="1"/>
    <xf numFmtId="0" fontId="6" fillId="24" borderId="5" xfId="0" applyFont="1" applyFill="1" applyBorder="1"/>
    <xf numFmtId="0" fontId="17" fillId="0" borderId="4" xfId="0" applyFont="1" applyBorder="1"/>
    <xf numFmtId="0" fontId="8" fillId="0" borderId="7" xfId="0" applyFont="1" applyBorder="1"/>
    <xf numFmtId="0" fontId="26" fillId="0" borderId="2" xfId="0" applyFont="1" applyBorder="1"/>
    <xf numFmtId="0" fontId="7" fillId="5" borderId="3" xfId="0" applyFont="1" applyFill="1" applyBorder="1"/>
    <xf numFmtId="0" fontId="8" fillId="5" borderId="3" xfId="0" applyFont="1" applyFill="1" applyBorder="1" applyAlignment="1">
      <alignment horizontal="right"/>
    </xf>
    <xf numFmtId="0" fontId="8" fillId="5" borderId="3" xfId="0" applyFont="1" applyFill="1" applyBorder="1"/>
    <xf numFmtId="0" fontId="21" fillId="5" borderId="3" xfId="0" applyFont="1" applyFill="1" applyBorder="1"/>
    <xf numFmtId="0" fontId="17" fillId="0" borderId="13" xfId="0" applyFont="1" applyBorder="1"/>
    <xf numFmtId="0" fontId="28" fillId="0" borderId="22" xfId="0" applyFont="1" applyBorder="1"/>
    <xf numFmtId="0" fontId="17" fillId="0" borderId="19" xfId="0" applyFont="1" applyBorder="1"/>
    <xf numFmtId="0" fontId="17" fillId="0" borderId="23" xfId="0" applyFont="1" applyBorder="1"/>
    <xf numFmtId="0" fontId="17" fillId="0" borderId="24" xfId="0" applyFont="1" applyBorder="1"/>
    <xf numFmtId="0" fontId="17" fillId="0" borderId="25" xfId="0" applyFont="1" applyBorder="1"/>
    <xf numFmtId="0" fontId="17" fillId="0" borderId="18" xfId="0" applyFont="1" applyBorder="1"/>
    <xf numFmtId="0" fontId="17" fillId="0" borderId="26" xfId="0" applyFont="1" applyBorder="1"/>
    <xf numFmtId="0" fontId="17" fillId="0" borderId="27" xfId="0" applyFont="1" applyBorder="1"/>
    <xf numFmtId="0" fontId="16" fillId="0" borderId="0" xfId="0" applyFont="1"/>
    <xf numFmtId="0" fontId="0" fillId="0" borderId="27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7" fillId="0" borderId="31" xfId="0" applyFont="1" applyBorder="1"/>
    <xf numFmtId="0" fontId="17" fillId="0" borderId="22" xfId="0" applyFont="1" applyBorder="1"/>
    <xf numFmtId="0" fontId="17" fillId="0" borderId="32" xfId="0" applyFont="1" applyBorder="1"/>
    <xf numFmtId="0" fontId="17" fillId="0" borderId="33" xfId="0" applyFont="1" applyBorder="1"/>
    <xf numFmtId="0" fontId="17" fillId="0" borderId="34" xfId="0" applyFont="1" applyBorder="1"/>
    <xf numFmtId="0" fontId="17" fillId="0" borderId="29" xfId="0" applyFont="1" applyBorder="1"/>
    <xf numFmtId="0" fontId="17" fillId="0" borderId="30" xfId="0" applyFont="1" applyBorder="1"/>
    <xf numFmtId="0" fontId="28" fillId="0" borderId="35" xfId="0" applyFont="1" applyBorder="1"/>
    <xf numFmtId="0" fontId="17" fillId="0" borderId="36" xfId="0" applyFont="1" applyBorder="1"/>
    <xf numFmtId="0" fontId="16" fillId="0" borderId="29" xfId="0" applyFont="1" applyBorder="1"/>
    <xf numFmtId="0" fontId="28" fillId="0" borderId="31" xfId="0" applyFont="1" applyBorder="1"/>
    <xf numFmtId="0" fontId="28" fillId="0" borderId="0" xfId="0" applyFont="1"/>
    <xf numFmtId="0" fontId="0" fillId="25" borderId="0" xfId="0" applyFill="1"/>
    <xf numFmtId="0" fontId="30" fillId="0" borderId="26" xfId="0" applyFont="1" applyBorder="1"/>
    <xf numFmtId="0" fontId="11" fillId="0" borderId="7" xfId="0" applyFont="1" applyBorder="1"/>
    <xf numFmtId="0" fontId="3" fillId="0" borderId="16" xfId="0" applyFont="1" applyBorder="1"/>
    <xf numFmtId="0" fontId="3" fillId="0" borderId="4" xfId="0" applyFont="1" applyBorder="1"/>
    <xf numFmtId="16" fontId="6" fillId="25" borderId="2" xfId="0" applyNumberFormat="1" applyFont="1" applyFill="1" applyBorder="1"/>
    <xf numFmtId="0" fontId="6" fillId="27" borderId="16" xfId="0" applyFont="1" applyFill="1" applyBorder="1"/>
    <xf numFmtId="0" fontId="11" fillId="5" borderId="4" xfId="0" applyFont="1" applyFill="1" applyBorder="1"/>
    <xf numFmtId="16" fontId="6" fillId="0" borderId="2" xfId="0" applyNumberFormat="1" applyFont="1" applyBorder="1"/>
    <xf numFmtId="0" fontId="6" fillId="28" borderId="16" xfId="0" applyFont="1" applyFill="1" applyBorder="1"/>
    <xf numFmtId="0" fontId="6" fillId="5" borderId="16" xfId="0" applyFont="1" applyFill="1" applyBorder="1"/>
    <xf numFmtId="0" fontId="12" fillId="6" borderId="4" xfId="0" applyFont="1" applyFill="1" applyBorder="1"/>
    <xf numFmtId="16" fontId="6" fillId="29" borderId="2" xfId="0" applyNumberFormat="1" applyFont="1" applyFill="1" applyBorder="1"/>
    <xf numFmtId="0" fontId="6" fillId="29" borderId="16" xfId="0" applyFont="1" applyFill="1" applyBorder="1"/>
    <xf numFmtId="0" fontId="11" fillId="29" borderId="4" xfId="0" applyFont="1" applyFill="1" applyBorder="1"/>
    <xf numFmtId="0" fontId="6" fillId="29" borderId="2" xfId="0" applyFont="1" applyFill="1" applyBorder="1"/>
    <xf numFmtId="0" fontId="6" fillId="29" borderId="4" xfId="0" applyFont="1" applyFill="1" applyBorder="1"/>
    <xf numFmtId="0" fontId="6" fillId="7" borderId="4" xfId="0" applyFont="1" applyFill="1" applyBorder="1"/>
    <xf numFmtId="0" fontId="31" fillId="0" borderId="2" xfId="0" applyFont="1" applyBorder="1"/>
    <xf numFmtId="0" fontId="32" fillId="0" borderId="2" xfId="0" applyFont="1" applyBorder="1"/>
    <xf numFmtId="0" fontId="12" fillId="8" borderId="4" xfId="0" applyFont="1" applyFill="1" applyBorder="1"/>
    <xf numFmtId="0" fontId="6" fillId="30" borderId="16" xfId="0" applyFont="1" applyFill="1" applyBorder="1"/>
    <xf numFmtId="0" fontId="11" fillId="0" borderId="2" xfId="0" applyFont="1" applyBorder="1" applyAlignment="1">
      <alignment wrapText="1"/>
    </xf>
    <xf numFmtId="0" fontId="6" fillId="31" borderId="2" xfId="0" applyFont="1" applyFill="1" applyBorder="1"/>
    <xf numFmtId="0" fontId="6" fillId="31" borderId="16" xfId="0" applyFont="1" applyFill="1" applyBorder="1"/>
    <xf numFmtId="0" fontId="11" fillId="31" borderId="4" xfId="0" applyFont="1" applyFill="1" applyBorder="1"/>
    <xf numFmtId="0" fontId="6" fillId="31" borderId="4" xfId="0" applyFont="1" applyFill="1" applyBorder="1"/>
    <xf numFmtId="0" fontId="6" fillId="32" borderId="16" xfId="0" applyFont="1" applyFill="1" applyBorder="1"/>
    <xf numFmtId="0" fontId="33" fillId="5" borderId="2" xfId="0" applyFont="1" applyFill="1" applyBorder="1"/>
    <xf numFmtId="0" fontId="6" fillId="33" borderId="16" xfId="0" applyFont="1" applyFill="1" applyBorder="1"/>
    <xf numFmtId="0" fontId="11" fillId="0" borderId="4" xfId="0" applyFont="1" applyBorder="1" applyAlignment="1">
      <alignment horizontal="right"/>
    </xf>
    <xf numFmtId="0" fontId="11" fillId="0" borderId="16" xfId="0" applyFont="1" applyBorder="1"/>
    <xf numFmtId="0" fontId="6" fillId="8" borderId="2" xfId="0" applyFont="1" applyFill="1" applyBorder="1"/>
    <xf numFmtId="16" fontId="6" fillId="2" borderId="2" xfId="0" applyNumberFormat="1" applyFont="1" applyFill="1" applyBorder="1"/>
    <xf numFmtId="0" fontId="11" fillId="5" borderId="2" xfId="0" applyFont="1" applyFill="1" applyBorder="1"/>
    <xf numFmtId="0" fontId="11" fillId="5" borderId="16" xfId="0" applyFont="1" applyFill="1" applyBorder="1"/>
    <xf numFmtId="0" fontId="6" fillId="0" borderId="10" xfId="0" applyFont="1" applyBorder="1"/>
    <xf numFmtId="0" fontId="6" fillId="28" borderId="1" xfId="0" applyFont="1" applyFill="1" applyBorder="1"/>
    <xf numFmtId="0" fontId="6" fillId="5" borderId="6" xfId="0" applyFont="1" applyFill="1" applyBorder="1"/>
    <xf numFmtId="0" fontId="6" fillId="5" borderId="1" xfId="0" applyFont="1" applyFill="1" applyBorder="1"/>
    <xf numFmtId="0" fontId="6" fillId="5" borderId="7" xfId="0" applyFont="1" applyFill="1" applyBorder="1"/>
    <xf numFmtId="0" fontId="6" fillId="19" borderId="7" xfId="0" applyFont="1" applyFill="1" applyBorder="1"/>
    <xf numFmtId="0" fontId="6" fillId="5" borderId="17" xfId="0" applyFont="1" applyFill="1" applyBorder="1"/>
    <xf numFmtId="0" fontId="6" fillId="5" borderId="5" xfId="0" applyFont="1" applyFill="1" applyBorder="1"/>
    <xf numFmtId="0" fontId="6" fillId="19" borderId="5" xfId="0" applyFont="1" applyFill="1" applyBorder="1"/>
    <xf numFmtId="0" fontId="11" fillId="34" borderId="16" xfId="0" applyFont="1" applyFill="1" applyBorder="1"/>
    <xf numFmtId="0" fontId="6" fillId="24" borderId="4" xfId="0" applyFont="1" applyFill="1" applyBorder="1"/>
    <xf numFmtId="0" fontId="11" fillId="30" borderId="16" xfId="0" applyFont="1" applyFill="1" applyBorder="1"/>
    <xf numFmtId="0" fontId="11" fillId="0" borderId="5" xfId="0" applyFont="1" applyBorder="1"/>
    <xf numFmtId="0" fontId="6" fillId="19" borderId="16" xfId="0" applyFont="1" applyFill="1" applyBorder="1"/>
    <xf numFmtId="0" fontId="6" fillId="19" borderId="1" xfId="0" applyFont="1" applyFill="1" applyBorder="1"/>
    <xf numFmtId="0" fontId="6" fillId="27" borderId="0" xfId="0" applyFont="1" applyFill="1"/>
    <xf numFmtId="0" fontId="17" fillId="0" borderId="8" xfId="0" applyFont="1" applyBorder="1"/>
    <xf numFmtId="0" fontId="11" fillId="2" borderId="2" xfId="0" applyFont="1" applyFill="1" applyBorder="1"/>
    <xf numFmtId="16" fontId="11" fillId="2" borderId="16" xfId="0" applyNumberFormat="1" applyFont="1" applyFill="1" applyBorder="1"/>
    <xf numFmtId="16" fontId="6" fillId="5" borderId="2" xfId="0" applyNumberFormat="1" applyFont="1" applyFill="1" applyBorder="1"/>
    <xf numFmtId="0" fontId="6" fillId="5" borderId="3" xfId="0" applyFont="1" applyFill="1" applyBorder="1"/>
    <xf numFmtId="0" fontId="6" fillId="28" borderId="13" xfId="0" applyFont="1" applyFill="1" applyBorder="1"/>
    <xf numFmtId="0" fontId="11" fillId="2" borderId="6" xfId="0" applyFont="1" applyFill="1" applyBorder="1"/>
    <xf numFmtId="16" fontId="11" fillId="2" borderId="1" xfId="0" applyNumberFormat="1" applyFont="1" applyFill="1" applyBorder="1"/>
    <xf numFmtId="0" fontId="11" fillId="0" borderId="6" xfId="0" applyFont="1" applyBorder="1"/>
    <xf numFmtId="0" fontId="6" fillId="27" borderId="1" xfId="0" applyFont="1" applyFill="1" applyBorder="1"/>
    <xf numFmtId="0" fontId="17" fillId="0" borderId="16" xfId="0" applyFont="1" applyBorder="1"/>
    <xf numFmtId="0" fontId="17" fillId="0" borderId="3" xfId="0" applyFont="1" applyBorder="1"/>
    <xf numFmtId="0" fontId="6" fillId="29" borderId="6" xfId="0" applyFont="1" applyFill="1" applyBorder="1"/>
    <xf numFmtId="0" fontId="6" fillId="29" borderId="1" xfId="0" applyFont="1" applyFill="1" applyBorder="1"/>
    <xf numFmtId="0" fontId="11" fillId="29" borderId="7" xfId="0" applyFont="1" applyFill="1" applyBorder="1"/>
    <xf numFmtId="0" fontId="17" fillId="29" borderId="6" xfId="0" applyFont="1" applyFill="1" applyBorder="1"/>
    <xf numFmtId="0" fontId="17" fillId="29" borderId="1" xfId="0" applyFont="1" applyFill="1" applyBorder="1"/>
    <xf numFmtId="0" fontId="11" fillId="29" borderId="6" xfId="0" applyFont="1" applyFill="1" applyBorder="1"/>
    <xf numFmtId="0" fontId="11" fillId="29" borderId="1" xfId="0" applyFont="1" applyFill="1" applyBorder="1"/>
    <xf numFmtId="0" fontId="17" fillId="29" borderId="16" xfId="0" applyFont="1" applyFill="1" applyBorder="1"/>
    <xf numFmtId="0" fontId="17" fillId="29" borderId="4" xfId="0" applyFont="1" applyFill="1" applyBorder="1"/>
    <xf numFmtId="0" fontId="33" fillId="0" borderId="2" xfId="0" applyFont="1" applyBorder="1"/>
    <xf numFmtId="0" fontId="33" fillId="0" borderId="3" xfId="0" applyFont="1" applyBorder="1"/>
    <xf numFmtId="0" fontId="6" fillId="27" borderId="17" xfId="0" applyFont="1" applyFill="1" applyBorder="1"/>
    <xf numFmtId="0" fontId="6" fillId="8" borderId="5" xfId="0" applyFont="1" applyFill="1" applyBorder="1"/>
    <xf numFmtId="0" fontId="6" fillId="2" borderId="16" xfId="0" applyFont="1" applyFill="1" applyBorder="1"/>
    <xf numFmtId="0" fontId="11" fillId="26" borderId="6" xfId="0" applyFont="1" applyFill="1" applyBorder="1"/>
    <xf numFmtId="0" fontId="34" fillId="0" borderId="2" xfId="0" applyFont="1" applyBorder="1"/>
    <xf numFmtId="0" fontId="6" fillId="35" borderId="4" xfId="0" applyFont="1" applyFill="1" applyBorder="1"/>
    <xf numFmtId="16" fontId="11" fillId="0" borderId="2" xfId="0" applyNumberFormat="1" applyFont="1" applyBorder="1"/>
    <xf numFmtId="0" fontId="6" fillId="36" borderId="7" xfId="0" applyFont="1" applyFill="1" applyBorder="1"/>
    <xf numFmtId="0" fontId="6" fillId="34" borderId="16" xfId="0" applyFont="1" applyFill="1" applyBorder="1"/>
    <xf numFmtId="16" fontId="6" fillId="8" borderId="2" xfId="0" applyNumberFormat="1" applyFont="1" applyFill="1" applyBorder="1"/>
    <xf numFmtId="0" fontId="6" fillId="37" borderId="4" xfId="0" applyFont="1" applyFill="1" applyBorder="1"/>
    <xf numFmtId="0" fontId="6" fillId="0" borderId="0" xfId="0" applyFont="1"/>
    <xf numFmtId="0" fontId="37" fillId="0" borderId="22" xfId="0" applyFont="1" applyBorder="1"/>
    <xf numFmtId="0" fontId="38" fillId="0" borderId="23" xfId="0" applyFont="1" applyBorder="1" applyAlignment="1">
      <alignment horizontal="center"/>
    </xf>
    <xf numFmtId="0" fontId="38" fillId="0" borderId="31" xfId="0" applyFont="1" applyBorder="1" applyAlignment="1">
      <alignment horizontal="center"/>
    </xf>
    <xf numFmtId="0" fontId="38" fillId="0" borderId="32" xfId="0" applyFont="1" applyBorder="1" applyAlignment="1">
      <alignment horizontal="center"/>
    </xf>
    <xf numFmtId="0" fontId="0" fillId="0" borderId="33" xfId="0" applyBorder="1"/>
    <xf numFmtId="2" fontId="0" fillId="0" borderId="0" xfId="0" applyNumberFormat="1"/>
    <xf numFmtId="164" fontId="0" fillId="0" borderId="0" xfId="0" applyNumberFormat="1"/>
    <xf numFmtId="1" fontId="0" fillId="0" borderId="26" xfId="0" applyNumberFormat="1" applyBorder="1"/>
    <xf numFmtId="0" fontId="0" fillId="8" borderId="33" xfId="0" applyFill="1" applyBorder="1"/>
    <xf numFmtId="0" fontId="0" fillId="0" borderId="0" xfId="0" applyAlignment="1">
      <alignment horizontal="right"/>
    </xf>
    <xf numFmtId="0" fontId="0" fillId="0" borderId="36" xfId="0" applyBorder="1"/>
    <xf numFmtId="2" fontId="0" fillId="0" borderId="29" xfId="0" applyNumberFormat="1" applyBorder="1"/>
    <xf numFmtId="164" fontId="0" fillId="0" borderId="29" xfId="0" applyNumberFormat="1" applyBorder="1"/>
    <xf numFmtId="1" fontId="0" fillId="0" borderId="30" xfId="0" applyNumberFormat="1" applyBorder="1"/>
    <xf numFmtId="1" fontId="0" fillId="0" borderId="0" xfId="0" applyNumberFormat="1"/>
    <xf numFmtId="0" fontId="38" fillId="0" borderId="19" xfId="0" applyFont="1" applyBorder="1" applyAlignment="1">
      <alignment horizontal="center"/>
    </xf>
    <xf numFmtId="0" fontId="0" fillId="0" borderId="19" xfId="0" applyBorder="1"/>
    <xf numFmtId="0" fontId="38" fillId="0" borderId="24" xfId="0" applyFont="1" applyBorder="1" applyAlignment="1">
      <alignment horizontal="center"/>
    </xf>
    <xf numFmtId="2" fontId="0" fillId="0" borderId="2" xfId="0" applyNumberFormat="1" applyBorder="1"/>
    <xf numFmtId="0" fontId="37" fillId="0" borderId="18" xfId="0" applyFont="1" applyBorder="1"/>
    <xf numFmtId="0" fontId="0" fillId="0" borderId="18" xfId="0" applyBorder="1"/>
    <xf numFmtId="0" fontId="0" fillId="0" borderId="32" xfId="0" applyBorder="1"/>
    <xf numFmtId="0" fontId="17" fillId="0" borderId="41" xfId="0" applyFont="1" applyBorder="1"/>
    <xf numFmtId="0" fontId="17" fillId="0" borderId="42" xfId="0" applyFont="1" applyBorder="1"/>
    <xf numFmtId="0" fontId="39" fillId="38" borderId="18" xfId="0" applyFont="1" applyFill="1" applyBorder="1"/>
    <xf numFmtId="0" fontId="0" fillId="38" borderId="19" xfId="0" applyFill="1" applyBorder="1"/>
    <xf numFmtId="0" fontId="0" fillId="38" borderId="24" xfId="0" applyFill="1" applyBorder="1"/>
    <xf numFmtId="0" fontId="40" fillId="0" borderId="18" xfId="0" applyFont="1" applyBorder="1"/>
    <xf numFmtId="0" fontId="0" fillId="0" borderId="24" xfId="0" applyBorder="1"/>
    <xf numFmtId="0" fontId="41" fillId="38" borderId="43" xfId="0" applyFont="1" applyFill="1" applyBorder="1" applyAlignment="1">
      <alignment horizontal="center"/>
    </xf>
    <xf numFmtId="0" fontId="41" fillId="38" borderId="2" xfId="0" applyFont="1" applyFill="1" applyBorder="1" applyAlignment="1">
      <alignment horizontal="center"/>
    </xf>
    <xf numFmtId="0" fontId="41" fillId="38" borderId="14" xfId="0" applyFont="1" applyFill="1" applyBorder="1" applyAlignment="1">
      <alignment horizontal="center"/>
    </xf>
    <xf numFmtId="0" fontId="0" fillId="0" borderId="22" xfId="0" applyBorder="1"/>
    <xf numFmtId="0" fontId="0" fillId="38" borderId="43" xfId="0" applyFill="1" applyBorder="1"/>
    <xf numFmtId="0" fontId="0" fillId="38" borderId="2" xfId="0" applyFill="1" applyBorder="1"/>
    <xf numFmtId="44" fontId="0" fillId="38" borderId="2" xfId="0" applyNumberFormat="1" applyFill="1" applyBorder="1"/>
    <xf numFmtId="0" fontId="0" fillId="38" borderId="2" xfId="0" applyFill="1" applyBorder="1" applyAlignment="1">
      <alignment horizontal="center"/>
    </xf>
    <xf numFmtId="44" fontId="0" fillId="38" borderId="14" xfId="0" applyNumberFormat="1" applyFill="1" applyBorder="1"/>
    <xf numFmtId="44" fontId="0" fillId="0" borderId="0" xfId="0" applyNumberFormat="1"/>
    <xf numFmtId="44" fontId="0" fillId="0" borderId="26" xfId="0" applyNumberFormat="1" applyBorder="1"/>
    <xf numFmtId="165" fontId="0" fillId="38" borderId="2" xfId="0" applyNumberFormat="1" applyFill="1" applyBorder="1" applyAlignment="1">
      <alignment horizontal="center"/>
    </xf>
    <xf numFmtId="0" fontId="0" fillId="38" borderId="3" xfId="0" applyFill="1" applyBorder="1"/>
    <xf numFmtId="0" fontId="0" fillId="38" borderId="3" xfId="0" applyFill="1" applyBorder="1" applyAlignment="1">
      <alignment horizontal="center"/>
    </xf>
    <xf numFmtId="44" fontId="0" fillId="38" borderId="3" xfId="0" applyNumberFormat="1" applyFill="1" applyBorder="1"/>
    <xf numFmtId="165" fontId="0" fillId="38" borderId="3" xfId="0" applyNumberFormat="1" applyFill="1" applyBorder="1" applyAlignment="1">
      <alignment horizontal="center"/>
    </xf>
    <xf numFmtId="44" fontId="0" fillId="38" borderId="44" xfId="0" applyNumberFormat="1" applyFill="1" applyBorder="1"/>
    <xf numFmtId="0" fontId="43" fillId="39" borderId="2" xfId="0" applyFont="1" applyFill="1" applyBorder="1"/>
    <xf numFmtId="0" fontId="43" fillId="39" borderId="14" xfId="0" applyFont="1" applyFill="1" applyBorder="1"/>
    <xf numFmtId="0" fontId="0" fillId="39" borderId="2" xfId="0" applyFill="1" applyBorder="1"/>
    <xf numFmtId="44" fontId="0" fillId="39" borderId="2" xfId="0" applyNumberFormat="1" applyFill="1" applyBorder="1"/>
    <xf numFmtId="0" fontId="0" fillId="39" borderId="2" xfId="0" applyFill="1" applyBorder="1" applyAlignment="1">
      <alignment horizontal="center"/>
    </xf>
    <xf numFmtId="44" fontId="0" fillId="39" borderId="14" xfId="0" applyNumberFormat="1" applyFill="1" applyBorder="1"/>
    <xf numFmtId="0" fontId="0" fillId="0" borderId="45" xfId="0" applyBorder="1"/>
    <xf numFmtId="0" fontId="0" fillId="8" borderId="45" xfId="0" applyFill="1" applyBorder="1"/>
    <xf numFmtId="0" fontId="0" fillId="0" borderId="46" xfId="0" applyBorder="1"/>
    <xf numFmtId="44" fontId="0" fillId="0" borderId="29" xfId="0" applyNumberFormat="1" applyBorder="1"/>
    <xf numFmtId="44" fontId="0" fillId="0" borderId="30" xfId="0" applyNumberFormat="1" applyBorder="1"/>
    <xf numFmtId="0" fontId="0" fillId="0" borderId="47" xfId="0" applyBorder="1"/>
    <xf numFmtId="44" fontId="0" fillId="25" borderId="0" xfId="0" applyNumberFormat="1" applyFill="1"/>
    <xf numFmtId="0" fontId="0" fillId="39" borderId="28" xfId="0" applyFill="1" applyBorder="1"/>
    <xf numFmtId="0" fontId="0" fillId="39" borderId="29" xfId="0" applyFill="1" applyBorder="1"/>
    <xf numFmtId="0" fontId="40" fillId="0" borderId="48" xfId="0" applyFont="1" applyBorder="1"/>
    <xf numFmtId="0" fontId="39" fillId="40" borderId="18" xfId="0" applyFont="1" applyFill="1" applyBorder="1"/>
    <xf numFmtId="0" fontId="0" fillId="40" borderId="19" xfId="0" applyFill="1" applyBorder="1"/>
    <xf numFmtId="0" fontId="0" fillId="40" borderId="24" xfId="0" applyFill="1" applyBorder="1"/>
    <xf numFmtId="165" fontId="0" fillId="0" borderId="0" xfId="0" applyNumberFormat="1"/>
    <xf numFmtId="165" fontId="0" fillId="0" borderId="26" xfId="0" applyNumberFormat="1" applyBorder="1"/>
    <xf numFmtId="0" fontId="41" fillId="40" borderId="43" xfId="0" applyFont="1" applyFill="1" applyBorder="1" applyAlignment="1">
      <alignment horizontal="center"/>
    </xf>
    <xf numFmtId="0" fontId="41" fillId="40" borderId="2" xfId="0" applyFont="1" applyFill="1" applyBorder="1" applyAlignment="1">
      <alignment horizontal="center"/>
    </xf>
    <xf numFmtId="0" fontId="41" fillId="40" borderId="4" xfId="0" applyFont="1" applyFill="1" applyBorder="1" applyAlignment="1">
      <alignment horizontal="center"/>
    </xf>
    <xf numFmtId="0" fontId="41" fillId="40" borderId="14" xfId="0" applyFont="1" applyFill="1" applyBorder="1" applyAlignment="1">
      <alignment horizontal="center"/>
    </xf>
    <xf numFmtId="0" fontId="0" fillId="40" borderId="43" xfId="0" applyFill="1" applyBorder="1"/>
    <xf numFmtId="0" fontId="0" fillId="40" borderId="2" xfId="0" applyFill="1" applyBorder="1"/>
    <xf numFmtId="44" fontId="0" fillId="40" borderId="2" xfId="0" applyNumberFormat="1" applyFill="1" applyBorder="1"/>
    <xf numFmtId="0" fontId="0" fillId="40" borderId="2" xfId="0" applyFill="1" applyBorder="1" applyAlignment="1">
      <alignment horizontal="center"/>
    </xf>
    <xf numFmtId="0" fontId="0" fillId="40" borderId="50" xfId="0" applyFill="1" applyBorder="1"/>
    <xf numFmtId="0" fontId="0" fillId="40" borderId="3" xfId="0" applyFill="1" applyBorder="1"/>
    <xf numFmtId="44" fontId="0" fillId="40" borderId="3" xfId="0" applyNumberFormat="1" applyFill="1" applyBorder="1"/>
    <xf numFmtId="0" fontId="0" fillId="40" borderId="3" xfId="0" applyFill="1" applyBorder="1" applyAlignment="1">
      <alignment horizontal="center"/>
    </xf>
    <xf numFmtId="165" fontId="0" fillId="40" borderId="2" xfId="0" applyNumberFormat="1" applyFill="1" applyBorder="1"/>
    <xf numFmtId="165" fontId="0" fillId="40" borderId="14" xfId="0" applyNumberFormat="1" applyFill="1" applyBorder="1"/>
    <xf numFmtId="165" fontId="0" fillId="0" borderId="29" xfId="0" applyNumberFormat="1" applyBorder="1"/>
    <xf numFmtId="165" fontId="0" fillId="0" borderId="30" xfId="0" applyNumberFormat="1" applyBorder="1"/>
    <xf numFmtId="165" fontId="0" fillId="25" borderId="0" xfId="0" applyNumberFormat="1" applyFill="1"/>
    <xf numFmtId="0" fontId="0" fillId="40" borderId="28" xfId="0" applyFill="1" applyBorder="1"/>
    <xf numFmtId="0" fontId="0" fillId="40" borderId="29" xfId="0" applyFill="1" applyBorder="1"/>
    <xf numFmtId="0" fontId="39" fillId="32" borderId="18" xfId="0" applyFont="1" applyFill="1" applyBorder="1"/>
    <xf numFmtId="0" fontId="0" fillId="32" borderId="19" xfId="0" applyFill="1" applyBorder="1"/>
    <xf numFmtId="0" fontId="0" fillId="32" borderId="24" xfId="0" applyFill="1" applyBorder="1"/>
    <xf numFmtId="0" fontId="41" fillId="32" borderId="52" xfId="0" applyFont="1" applyFill="1" applyBorder="1" applyAlignment="1">
      <alignment horizontal="center"/>
    </xf>
    <xf numFmtId="0" fontId="41" fillId="32" borderId="53" xfId="0" applyFont="1" applyFill="1" applyBorder="1" applyAlignment="1">
      <alignment horizontal="center"/>
    </xf>
    <xf numFmtId="0" fontId="41" fillId="32" borderId="54" xfId="0" applyFont="1" applyFill="1" applyBorder="1" applyAlignment="1">
      <alignment horizontal="center"/>
    </xf>
    <xf numFmtId="0" fontId="0" fillId="32" borderId="43" xfId="0" applyFill="1" applyBorder="1"/>
    <xf numFmtId="0" fontId="0" fillId="32" borderId="2" xfId="0" applyFill="1" applyBorder="1"/>
    <xf numFmtId="44" fontId="0" fillId="32" borderId="2" xfId="0" applyNumberFormat="1" applyFill="1" applyBorder="1"/>
    <xf numFmtId="0" fontId="0" fillId="32" borderId="2" xfId="0" applyFill="1" applyBorder="1" applyAlignment="1">
      <alignment horizontal="center"/>
    </xf>
    <xf numFmtId="0" fontId="0" fillId="32" borderId="50" xfId="0" applyFill="1" applyBorder="1"/>
    <xf numFmtId="0" fontId="0" fillId="32" borderId="3" xfId="0" applyFill="1" applyBorder="1"/>
    <xf numFmtId="44" fontId="0" fillId="32" borderId="3" xfId="0" applyNumberFormat="1" applyFill="1" applyBorder="1"/>
    <xf numFmtId="0" fontId="0" fillId="32" borderId="3" xfId="0" applyFill="1" applyBorder="1" applyAlignment="1">
      <alignment horizontal="center"/>
    </xf>
    <xf numFmtId="0" fontId="40" fillId="0" borderId="31" xfId="0" applyFont="1" applyBorder="1"/>
    <xf numFmtId="0" fontId="0" fillId="0" borderId="23" xfId="0" applyBorder="1"/>
    <xf numFmtId="165" fontId="0" fillId="32" borderId="2" xfId="0" applyNumberFormat="1" applyFill="1" applyBorder="1"/>
    <xf numFmtId="0" fontId="0" fillId="0" borderId="35" xfId="0" applyBorder="1"/>
    <xf numFmtId="165" fontId="0" fillId="32" borderId="3" xfId="0" applyNumberFormat="1" applyFill="1" applyBorder="1"/>
    <xf numFmtId="165" fontId="0" fillId="0" borderId="19" xfId="0" applyNumberFormat="1" applyBorder="1"/>
    <xf numFmtId="165" fontId="0" fillId="0" borderId="24" xfId="0" applyNumberFormat="1" applyBorder="1"/>
    <xf numFmtId="165" fontId="0" fillId="32" borderId="5" xfId="0" applyNumberFormat="1" applyFill="1" applyBorder="1"/>
    <xf numFmtId="0" fontId="39" fillId="41" borderId="18" xfId="0" applyFont="1" applyFill="1" applyBorder="1"/>
    <xf numFmtId="0" fontId="0" fillId="41" borderId="19" xfId="0" applyFill="1" applyBorder="1"/>
    <xf numFmtId="0" fontId="0" fillId="41" borderId="24" xfId="0" applyFill="1" applyBorder="1"/>
    <xf numFmtId="0" fontId="41" fillId="41" borderId="50" xfId="0" applyFont="1" applyFill="1" applyBorder="1" applyAlignment="1">
      <alignment horizontal="center"/>
    </xf>
    <xf numFmtId="0" fontId="41" fillId="41" borderId="3" xfId="0" applyFont="1" applyFill="1" applyBorder="1" applyAlignment="1">
      <alignment horizontal="center"/>
    </xf>
    <xf numFmtId="0" fontId="41" fillId="41" borderId="44" xfId="0" applyFont="1" applyFill="1" applyBorder="1" applyAlignment="1">
      <alignment horizontal="center"/>
    </xf>
    <xf numFmtId="0" fontId="0" fillId="41" borderId="2" xfId="0" applyFill="1" applyBorder="1"/>
    <xf numFmtId="44" fontId="0" fillId="41" borderId="2" xfId="0" applyNumberFormat="1" applyFill="1" applyBorder="1"/>
    <xf numFmtId="0" fontId="0" fillId="41" borderId="3" xfId="0" applyFill="1" applyBorder="1" applyAlignment="1">
      <alignment horizontal="center"/>
    </xf>
    <xf numFmtId="0" fontId="0" fillId="41" borderId="3" xfId="0" applyFill="1" applyBorder="1"/>
    <xf numFmtId="44" fontId="0" fillId="41" borderId="3" xfId="0" applyNumberFormat="1" applyFill="1" applyBorder="1"/>
    <xf numFmtId="0" fontId="0" fillId="41" borderId="28" xfId="0" applyFill="1" applyBorder="1"/>
    <xf numFmtId="0" fontId="0" fillId="41" borderId="29" xfId="0" applyFill="1" applyBorder="1"/>
    <xf numFmtId="0" fontId="39" fillId="42" borderId="18" xfId="0" applyFont="1" applyFill="1" applyBorder="1"/>
    <xf numFmtId="0" fontId="0" fillId="42" borderId="19" xfId="0" applyFill="1" applyBorder="1"/>
    <xf numFmtId="0" fontId="0" fillId="42" borderId="24" xfId="0" applyFill="1" applyBorder="1"/>
    <xf numFmtId="0" fontId="41" fillId="42" borderId="50" xfId="0" applyFont="1" applyFill="1" applyBorder="1" applyAlignment="1">
      <alignment horizontal="center"/>
    </xf>
    <xf numFmtId="0" fontId="41" fillId="42" borderId="3" xfId="0" applyFont="1" applyFill="1" applyBorder="1" applyAlignment="1">
      <alignment horizontal="center"/>
    </xf>
    <xf numFmtId="0" fontId="41" fillId="42" borderId="44" xfId="0" applyFont="1" applyFill="1" applyBorder="1" applyAlignment="1">
      <alignment horizontal="center"/>
    </xf>
    <xf numFmtId="166" fontId="0" fillId="42" borderId="2" xfId="0" applyNumberFormat="1" applyFill="1" applyBorder="1"/>
    <xf numFmtId="0" fontId="0" fillId="42" borderId="2" xfId="0" applyFill="1" applyBorder="1"/>
    <xf numFmtId="165" fontId="0" fillId="42" borderId="2" xfId="0" applyNumberFormat="1" applyFill="1" applyBorder="1"/>
    <xf numFmtId="0" fontId="0" fillId="42" borderId="28" xfId="0" applyFill="1" applyBorder="1"/>
    <xf numFmtId="0" fontId="0" fillId="42" borderId="29" xfId="0" applyFill="1" applyBorder="1"/>
    <xf numFmtId="0" fontId="39" fillId="43" borderId="18" xfId="0" applyFont="1" applyFill="1" applyBorder="1"/>
    <xf numFmtId="0" fontId="0" fillId="43" borderId="19" xfId="0" applyFill="1" applyBorder="1"/>
    <xf numFmtId="0" fontId="0" fillId="43" borderId="24" xfId="0" applyFill="1" applyBorder="1"/>
    <xf numFmtId="0" fontId="41" fillId="43" borderId="50" xfId="0" applyFont="1" applyFill="1" applyBorder="1" applyAlignment="1">
      <alignment horizontal="center"/>
    </xf>
    <xf numFmtId="0" fontId="41" fillId="43" borderId="3" xfId="0" applyFont="1" applyFill="1" applyBorder="1" applyAlignment="1">
      <alignment horizontal="center"/>
    </xf>
    <xf numFmtId="0" fontId="41" fillId="43" borderId="44" xfId="0" applyFont="1" applyFill="1" applyBorder="1" applyAlignment="1">
      <alignment horizontal="center"/>
    </xf>
    <xf numFmtId="0" fontId="0" fillId="43" borderId="2" xfId="0" applyFill="1" applyBorder="1"/>
    <xf numFmtId="165" fontId="0" fillId="43" borderId="2" xfId="0" applyNumberFormat="1" applyFill="1" applyBorder="1" applyAlignment="1">
      <alignment horizontal="center"/>
    </xf>
    <xf numFmtId="0" fontId="0" fillId="43" borderId="28" xfId="0" applyFill="1" applyBorder="1"/>
    <xf numFmtId="0" fontId="0" fillId="43" borderId="29" xfId="0" applyFill="1" applyBorder="1"/>
    <xf numFmtId="0" fontId="39" fillId="44" borderId="18" xfId="0" applyFont="1" applyFill="1" applyBorder="1"/>
    <xf numFmtId="0" fontId="0" fillId="44" borderId="19" xfId="0" applyFill="1" applyBorder="1"/>
    <xf numFmtId="0" fontId="0" fillId="44" borderId="24" xfId="0" applyFill="1" applyBorder="1"/>
    <xf numFmtId="0" fontId="41" fillId="44" borderId="50" xfId="0" applyFont="1" applyFill="1" applyBorder="1" applyAlignment="1">
      <alignment horizontal="center"/>
    </xf>
    <xf numFmtId="0" fontId="41" fillId="44" borderId="3" xfId="0" applyFont="1" applyFill="1" applyBorder="1" applyAlignment="1">
      <alignment horizontal="center"/>
    </xf>
    <xf numFmtId="0" fontId="41" fillId="44" borderId="44" xfId="0" applyFont="1" applyFill="1" applyBorder="1" applyAlignment="1">
      <alignment horizontal="center"/>
    </xf>
    <xf numFmtId="0" fontId="0" fillId="44" borderId="2" xfId="0" applyFill="1" applyBorder="1"/>
    <xf numFmtId="166" fontId="0" fillId="44" borderId="2" xfId="0" applyNumberFormat="1" applyFill="1" applyBorder="1"/>
    <xf numFmtId="0" fontId="0" fillId="44" borderId="28" xfId="0" applyFill="1" applyBorder="1"/>
    <xf numFmtId="0" fontId="0" fillId="44" borderId="29" xfId="0" applyFill="1" applyBorder="1"/>
    <xf numFmtId="0" fontId="41" fillId="45" borderId="56" xfId="0" applyFont="1" applyFill="1" applyBorder="1"/>
    <xf numFmtId="0" fontId="41" fillId="45" borderId="57" xfId="0" applyFont="1" applyFill="1" applyBorder="1"/>
    <xf numFmtId="0" fontId="41" fillId="45" borderId="58" xfId="0" applyFont="1" applyFill="1" applyBorder="1"/>
    <xf numFmtId="0" fontId="0" fillId="45" borderId="59" xfId="0" applyFill="1" applyBorder="1"/>
    <xf numFmtId="0" fontId="0" fillId="45" borderId="2" xfId="0" applyFill="1" applyBorder="1"/>
    <xf numFmtId="165" fontId="0" fillId="45" borderId="2" xfId="0" applyNumberFormat="1" applyFill="1" applyBorder="1"/>
    <xf numFmtId="0" fontId="0" fillId="45" borderId="2" xfId="0" applyFill="1" applyBorder="1" applyAlignment="1">
      <alignment horizontal="center"/>
    </xf>
    <xf numFmtId="165" fontId="0" fillId="45" borderId="60" xfId="0" applyNumberFormat="1" applyFill="1" applyBorder="1"/>
    <xf numFmtId="0" fontId="0" fillId="45" borderId="9" xfId="0" applyFill="1" applyBorder="1" applyAlignment="1">
      <alignment horizontal="center"/>
    </xf>
    <xf numFmtId="165" fontId="0" fillId="45" borderId="62" xfId="0" applyNumberFormat="1" applyFill="1" applyBorder="1"/>
    <xf numFmtId="166" fontId="0" fillId="0" borderId="2" xfId="0" applyNumberFormat="1" applyBorder="1"/>
    <xf numFmtId="0" fontId="0" fillId="8" borderId="0" xfId="0" applyFill="1"/>
    <xf numFmtId="1" fontId="0" fillId="38" borderId="2" xfId="0" applyNumberFormat="1" applyFill="1" applyBorder="1" applyAlignment="1">
      <alignment horizontal="center"/>
    </xf>
    <xf numFmtId="1" fontId="0" fillId="38" borderId="3" xfId="0" applyNumberFormat="1" applyFill="1" applyBorder="1" applyAlignment="1">
      <alignment horizontal="center"/>
    </xf>
    <xf numFmtId="1" fontId="0" fillId="39" borderId="2" xfId="0" applyNumberFormat="1" applyFill="1" applyBorder="1" applyAlignment="1">
      <alignment horizontal="center"/>
    </xf>
    <xf numFmtId="1" fontId="0" fillId="40" borderId="2" xfId="0" applyNumberFormat="1" applyFill="1" applyBorder="1" applyAlignment="1">
      <alignment horizontal="center"/>
    </xf>
    <xf numFmtId="1" fontId="0" fillId="40" borderId="3" xfId="0" applyNumberFormat="1" applyFill="1" applyBorder="1" applyAlignment="1">
      <alignment horizontal="center"/>
    </xf>
    <xf numFmtId="1" fontId="0" fillId="32" borderId="2" xfId="0" applyNumberFormat="1" applyFill="1" applyBorder="1" applyAlignment="1">
      <alignment horizontal="center"/>
    </xf>
    <xf numFmtId="1" fontId="0" fillId="32" borderId="3" xfId="0" applyNumberFormat="1" applyFill="1" applyBorder="1" applyAlignment="1">
      <alignment horizontal="center"/>
    </xf>
    <xf numFmtId="1" fontId="0" fillId="41" borderId="3" xfId="0" applyNumberFormat="1" applyFill="1" applyBorder="1" applyAlignment="1">
      <alignment horizontal="center"/>
    </xf>
    <xf numFmtId="1" fontId="0" fillId="43" borderId="2" xfId="0" applyNumberFormat="1" applyFill="1" applyBorder="1" applyAlignment="1">
      <alignment horizontal="center"/>
    </xf>
    <xf numFmtId="1" fontId="0" fillId="44" borderId="2" xfId="0" applyNumberFormat="1" applyFill="1" applyBorder="1" applyAlignment="1">
      <alignment horizontal="center"/>
    </xf>
    <xf numFmtId="1" fontId="0" fillId="0" borderId="29" xfId="0" applyNumberFormat="1" applyBorder="1"/>
    <xf numFmtId="166" fontId="0" fillId="42" borderId="3" xfId="0" applyNumberFormat="1" applyFill="1" applyBorder="1"/>
    <xf numFmtId="0" fontId="0" fillId="42" borderId="3" xfId="0" applyFill="1" applyBorder="1"/>
    <xf numFmtId="165" fontId="0" fillId="42" borderId="3" xfId="0" applyNumberFormat="1" applyFill="1" applyBorder="1"/>
    <xf numFmtId="1" fontId="0" fillId="42" borderId="3" xfId="0" applyNumberFormat="1" applyFill="1" applyBorder="1" applyAlignment="1">
      <alignment horizontal="center"/>
    </xf>
    <xf numFmtId="0" fontId="0" fillId="39" borderId="3" xfId="0" applyFill="1" applyBorder="1"/>
    <xf numFmtId="44" fontId="0" fillId="39" borderId="3" xfId="0" applyNumberFormat="1" applyFill="1" applyBorder="1"/>
    <xf numFmtId="1" fontId="0" fillId="39" borderId="3" xfId="0" applyNumberFormat="1" applyFill="1" applyBorder="1" applyAlignment="1">
      <alignment horizontal="center"/>
    </xf>
    <xf numFmtId="44" fontId="0" fillId="39" borderId="44" xfId="0" applyNumberFormat="1" applyFill="1" applyBorder="1"/>
    <xf numFmtId="164" fontId="0" fillId="0" borderId="3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38" xfId="0" applyFont="1" applyBorder="1"/>
    <xf numFmtId="0" fontId="3" fillId="0" borderId="63" xfId="0" applyFont="1" applyBorder="1"/>
    <xf numFmtId="0" fontId="3" fillId="0" borderId="39" xfId="0" applyFont="1" applyBorder="1"/>
    <xf numFmtId="0" fontId="3" fillId="0" borderId="39" xfId="0" applyFont="1" applyBorder="1" applyAlignment="1">
      <alignment horizontal="left"/>
    </xf>
    <xf numFmtId="0" fontId="4" fillId="0" borderId="39" xfId="0" applyFont="1" applyBorder="1"/>
    <xf numFmtId="0" fontId="3" fillId="0" borderId="64" xfId="0" applyFont="1" applyBorder="1"/>
    <xf numFmtId="0" fontId="3" fillId="0" borderId="24" xfId="0" applyFont="1" applyBorder="1"/>
    <xf numFmtId="0" fontId="0" fillId="0" borderId="52" xfId="0" applyBorder="1"/>
    <xf numFmtId="0" fontId="0" fillId="0" borderId="53" xfId="0" applyBorder="1"/>
    <xf numFmtId="0" fontId="0" fillId="8" borderId="53" xfId="0" applyFill="1" applyBorder="1"/>
    <xf numFmtId="0" fontId="0" fillId="0" borderId="54" xfId="0" applyBorder="1"/>
    <xf numFmtId="16" fontId="0" fillId="0" borderId="43" xfId="0" applyNumberFormat="1" applyBorder="1" applyAlignment="1">
      <alignment vertical="top"/>
    </xf>
    <xf numFmtId="0" fontId="0" fillId="30" borderId="2" xfId="0" applyFill="1" applyBorder="1" applyAlignment="1">
      <alignment vertical="top"/>
    </xf>
    <xf numFmtId="0" fontId="0" fillId="8" borderId="2" xfId="0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0" fillId="0" borderId="43" xfId="0" applyBorder="1"/>
    <xf numFmtId="0" fontId="0" fillId="46" borderId="2" xfId="0" applyFill="1" applyBorder="1"/>
    <xf numFmtId="0" fontId="0" fillId="0" borderId="2" xfId="0" applyBorder="1" applyAlignment="1">
      <alignment horizontal="left"/>
    </xf>
    <xf numFmtId="0" fontId="0" fillId="47" borderId="43" xfId="0" applyFill="1" applyBorder="1"/>
    <xf numFmtId="0" fontId="0" fillId="47" borderId="2" xfId="0" applyFill="1" applyBorder="1"/>
    <xf numFmtId="0" fontId="0" fillId="47" borderId="2" xfId="0" applyFill="1" applyBorder="1" applyAlignment="1">
      <alignment horizontal="left"/>
    </xf>
    <xf numFmtId="0" fontId="0" fillId="47" borderId="14" xfId="0" applyFill="1" applyBorder="1"/>
    <xf numFmtId="16" fontId="0" fillId="0" borderId="43" xfId="0" applyNumberFormat="1" applyBorder="1"/>
    <xf numFmtId="0" fontId="0" fillId="30" borderId="2" xfId="0" applyFill="1" applyBorder="1"/>
    <xf numFmtId="0" fontId="0" fillId="9" borderId="2" xfId="0" applyFill="1" applyBorder="1"/>
    <xf numFmtId="0" fontId="0" fillId="48" borderId="2" xfId="0" applyFill="1" applyBorder="1"/>
    <xf numFmtId="0" fontId="0" fillId="0" borderId="50" xfId="0" applyBorder="1"/>
    <xf numFmtId="0" fontId="0" fillId="8" borderId="3" xfId="0" applyFill="1" applyBorder="1"/>
    <xf numFmtId="0" fontId="0" fillId="0" borderId="3" xfId="0" applyBorder="1" applyAlignment="1">
      <alignment horizontal="left"/>
    </xf>
    <xf numFmtId="0" fontId="0" fillId="0" borderId="44" xfId="0" applyBorder="1"/>
    <xf numFmtId="0" fontId="0" fillId="46" borderId="0" xfId="0" applyFill="1"/>
    <xf numFmtId="0" fontId="0" fillId="14" borderId="2" xfId="0" applyFill="1" applyBorder="1"/>
    <xf numFmtId="0" fontId="0" fillId="14" borderId="3" xfId="0" applyFill="1" applyBorder="1"/>
    <xf numFmtId="0" fontId="0" fillId="0" borderId="65" xfId="0" applyBorder="1"/>
    <xf numFmtId="0" fontId="0" fillId="8" borderId="13" xfId="0" applyFill="1" applyBorder="1"/>
    <xf numFmtId="16" fontId="0" fillId="0" borderId="65" xfId="0" applyNumberFormat="1" applyBorder="1"/>
    <xf numFmtId="0" fontId="0" fillId="15" borderId="43" xfId="0" applyFill="1" applyBorder="1"/>
    <xf numFmtId="0" fontId="0" fillId="15" borderId="2" xfId="0" applyFill="1" applyBorder="1"/>
    <xf numFmtId="0" fontId="0" fillId="15" borderId="2" xfId="0" applyFill="1" applyBorder="1" applyAlignment="1">
      <alignment horizontal="left"/>
    </xf>
    <xf numFmtId="0" fontId="0" fillId="15" borderId="14" xfId="0" applyFill="1" applyBorder="1"/>
    <xf numFmtId="0" fontId="6" fillId="5" borderId="17" xfId="0" applyFont="1" applyFill="1" applyBorder="1" applyAlignment="1">
      <alignment horizontal="left"/>
    </xf>
    <xf numFmtId="0" fontId="0" fillId="30" borderId="3" xfId="0" applyFill="1" applyBorder="1"/>
    <xf numFmtId="0" fontId="0" fillId="8" borderId="4" xfId="0" applyFill="1" applyBorder="1"/>
    <xf numFmtId="0" fontId="0" fillId="0" borderId="13" xfId="0" applyBorder="1"/>
    <xf numFmtId="0" fontId="0" fillId="46" borderId="6" xfId="0" applyFill="1" applyBorder="1"/>
    <xf numFmtId="0" fontId="0" fillId="26" borderId="2" xfId="0" applyFill="1" applyBorder="1"/>
    <xf numFmtId="16" fontId="0" fillId="0" borderId="50" xfId="0" applyNumberFormat="1" applyBorder="1"/>
    <xf numFmtId="0" fontId="0" fillId="0" borderId="67" xfId="0" applyBorder="1"/>
    <xf numFmtId="0" fontId="0" fillId="0" borderId="49" xfId="0" applyBorder="1"/>
    <xf numFmtId="0" fontId="0" fillId="0" borderId="55" xfId="0" applyBorder="1"/>
    <xf numFmtId="0" fontId="0" fillId="0" borderId="9" xfId="0" applyBorder="1"/>
    <xf numFmtId="0" fontId="0" fillId="0" borderId="68" xfId="0" applyBorder="1"/>
    <xf numFmtId="0" fontId="45" fillId="0" borderId="0" xfId="0" applyFont="1" applyAlignment="1">
      <alignment horizontal="center"/>
    </xf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43" fillId="0" borderId="22" xfId="0" applyFont="1" applyBorder="1"/>
    <xf numFmtId="0" fontId="0" fillId="0" borderId="75" xfId="0" applyBorder="1"/>
    <xf numFmtId="0" fontId="0" fillId="0" borderId="76" xfId="0" applyBorder="1"/>
    <xf numFmtId="0" fontId="0" fillId="0" borderId="42" xfId="0" applyBorder="1"/>
    <xf numFmtId="0" fontId="0" fillId="0" borderId="31" xfId="0" applyBorder="1"/>
    <xf numFmtId="0" fontId="43" fillId="0" borderId="18" xfId="0" applyFont="1" applyBorder="1"/>
    <xf numFmtId="0" fontId="43" fillId="0" borderId="35" xfId="0" applyFont="1" applyBorder="1"/>
    <xf numFmtId="0" fontId="17" fillId="0" borderId="35" xfId="0" applyFont="1" applyBorder="1"/>
    <xf numFmtId="2" fontId="0" fillId="0" borderId="22" xfId="0" applyNumberFormat="1" applyBorder="1"/>
    <xf numFmtId="0" fontId="2" fillId="0" borderId="35" xfId="0" applyFont="1" applyBorder="1"/>
    <xf numFmtId="0" fontId="0" fillId="0" borderId="77" xfId="0" applyBorder="1"/>
    <xf numFmtId="0" fontId="46" fillId="0" borderId="22" xfId="0" applyFont="1" applyBorder="1"/>
    <xf numFmtId="0" fontId="0" fillId="15" borderId="4" xfId="0" applyFill="1" applyBorder="1"/>
    <xf numFmtId="0" fontId="0" fillId="29" borderId="0" xfId="0" applyFill="1"/>
    <xf numFmtId="164" fontId="0" fillId="0" borderId="6" xfId="0" applyNumberFormat="1" applyBorder="1"/>
    <xf numFmtId="0" fontId="38" fillId="0" borderId="15" xfId="0" applyFont="1" applyBorder="1" applyAlignment="1">
      <alignment horizontal="center"/>
    </xf>
    <xf numFmtId="0" fontId="38" fillId="0" borderId="78" xfId="0" applyFont="1" applyBorder="1" applyAlignment="1">
      <alignment horizontal="center"/>
    </xf>
    <xf numFmtId="0" fontId="47" fillId="0" borderId="79" xfId="0" applyFont="1" applyBorder="1"/>
    <xf numFmtId="0" fontId="49" fillId="0" borderId="25" xfId="0" applyFont="1" applyBorder="1"/>
    <xf numFmtId="165" fontId="17" fillId="0" borderId="0" xfId="0" applyNumberFormat="1" applyFont="1"/>
    <xf numFmtId="44" fontId="16" fillId="0" borderId="26" xfId="0" applyNumberFormat="1" applyFont="1" applyBorder="1"/>
    <xf numFmtId="0" fontId="50" fillId="0" borderId="28" xfId="0" applyFont="1" applyBorder="1"/>
    <xf numFmtId="165" fontId="16" fillId="0" borderId="29" xfId="0" applyNumberFormat="1" applyFont="1" applyBorder="1"/>
    <xf numFmtId="44" fontId="16" fillId="0" borderId="30" xfId="0" applyNumberFormat="1" applyFont="1" applyBorder="1"/>
    <xf numFmtId="0" fontId="49" fillId="0" borderId="0" xfId="0" applyFont="1"/>
    <xf numFmtId="0" fontId="46" fillId="0" borderId="25" xfId="0" applyFont="1" applyBorder="1"/>
    <xf numFmtId="0" fontId="49" fillId="0" borderId="28" xfId="0" applyFont="1" applyBorder="1"/>
    <xf numFmtId="0" fontId="51" fillId="37" borderId="28" xfId="0" applyFont="1" applyFill="1" applyBorder="1"/>
    <xf numFmtId="165" fontId="51" fillId="37" borderId="30" xfId="0" applyNumberFormat="1" applyFont="1" applyFill="1" applyBorder="1"/>
    <xf numFmtId="0" fontId="55" fillId="0" borderId="31" xfId="0" applyFont="1" applyBorder="1"/>
    <xf numFmtId="0" fontId="47" fillId="0" borderId="82" xfId="0" applyFont="1" applyBorder="1"/>
    <xf numFmtId="0" fontId="53" fillId="0" borderId="0" xfId="0" applyFont="1"/>
    <xf numFmtId="0" fontId="55" fillId="0" borderId="25" xfId="0" applyFont="1" applyBorder="1"/>
    <xf numFmtId="0" fontId="14" fillId="0" borderId="0" xfId="0" applyFont="1"/>
    <xf numFmtId="0" fontId="48" fillId="0" borderId="83" xfId="0" applyFont="1" applyBorder="1"/>
    <xf numFmtId="0" fontId="46" fillId="0" borderId="82" xfId="0" applyFont="1" applyBorder="1"/>
    <xf numFmtId="0" fontId="47" fillId="0" borderId="83" xfId="0" applyFont="1" applyBorder="1"/>
    <xf numFmtId="1" fontId="53" fillId="0" borderId="0" xfId="0" applyNumberFormat="1" applyFont="1"/>
    <xf numFmtId="0" fontId="36" fillId="0" borderId="40" xfId="0" applyFont="1" applyBorder="1"/>
    <xf numFmtId="0" fontId="0" fillId="0" borderId="69" xfId="0" applyBorder="1"/>
    <xf numFmtId="0" fontId="0" fillId="44" borderId="3" xfId="0" applyFill="1" applyBorder="1"/>
    <xf numFmtId="166" fontId="0" fillId="44" borderId="3" xfId="0" applyNumberFormat="1" applyFill="1" applyBorder="1"/>
    <xf numFmtId="1" fontId="0" fillId="44" borderId="3" xfId="0" applyNumberFormat="1" applyFill="1" applyBorder="1" applyAlignment="1">
      <alignment horizontal="center"/>
    </xf>
    <xf numFmtId="0" fontId="27" fillId="0" borderId="39" xfId="0" applyFont="1" applyBorder="1"/>
    <xf numFmtId="0" fontId="36" fillId="0" borderId="19" xfId="0" applyFont="1" applyBorder="1"/>
    <xf numFmtId="0" fontId="58" fillId="0" borderId="0" xfId="0" applyFont="1"/>
    <xf numFmtId="0" fontId="48" fillId="0" borderId="23" xfId="0" applyFont="1" applyBorder="1"/>
    <xf numFmtId="0" fontId="48" fillId="0" borderId="31" xfId="0" applyFont="1" applyBorder="1"/>
    <xf numFmtId="0" fontId="47" fillId="0" borderId="23" xfId="0" applyFont="1" applyBorder="1"/>
    <xf numFmtId="0" fontId="47" fillId="0" borderId="35" xfId="0" applyFont="1" applyBorder="1"/>
    <xf numFmtId="0" fontId="17" fillId="46" borderId="86" xfId="0" applyFont="1" applyFill="1" applyBorder="1"/>
    <xf numFmtId="0" fontId="17" fillId="46" borderId="6" xfId="0" applyFont="1" applyFill="1" applyBorder="1"/>
    <xf numFmtId="8" fontId="17" fillId="46" borderId="6" xfId="0" applyNumberFormat="1" applyFont="1" applyFill="1" applyBorder="1"/>
    <xf numFmtId="8" fontId="0" fillId="46" borderId="6" xfId="0" applyNumberFormat="1" applyFill="1" applyBorder="1"/>
    <xf numFmtId="0" fontId="17" fillId="46" borderId="7" xfId="0" applyFont="1" applyFill="1" applyBorder="1"/>
    <xf numFmtId="8" fontId="17" fillId="0" borderId="85" xfId="0" applyNumberFormat="1" applyFont="1" applyBorder="1"/>
    <xf numFmtId="0" fontId="0" fillId="46" borderId="52" xfId="0" applyFill="1" applyBorder="1"/>
    <xf numFmtId="0" fontId="59" fillId="46" borderId="53" xfId="0" applyFont="1" applyFill="1" applyBorder="1"/>
    <xf numFmtId="0" fontId="0" fillId="46" borderId="53" xfId="0" applyFill="1" applyBorder="1"/>
    <xf numFmtId="8" fontId="0" fillId="46" borderId="53" xfId="0" applyNumberFormat="1" applyFill="1" applyBorder="1"/>
    <xf numFmtId="0" fontId="17" fillId="46" borderId="43" xfId="0" applyFont="1" applyFill="1" applyBorder="1"/>
    <xf numFmtId="0" fontId="17" fillId="46" borderId="2" xfId="0" applyFont="1" applyFill="1" applyBorder="1"/>
    <xf numFmtId="8" fontId="17" fillId="46" borderId="2" xfId="0" applyNumberFormat="1" applyFont="1" applyFill="1" applyBorder="1"/>
    <xf numFmtId="8" fontId="0" fillId="46" borderId="2" xfId="0" applyNumberFormat="1" applyFill="1" applyBorder="1"/>
    <xf numFmtId="0" fontId="17" fillId="46" borderId="4" xfId="0" applyFont="1" applyFill="1" applyBorder="1"/>
    <xf numFmtId="8" fontId="17" fillId="0" borderId="87" xfId="0" applyNumberFormat="1" applyFont="1" applyBorder="1"/>
    <xf numFmtId="8" fontId="0" fillId="46" borderId="43" xfId="0" applyNumberFormat="1" applyFill="1" applyBorder="1"/>
    <xf numFmtId="0" fontId="59" fillId="46" borderId="2" xfId="0" applyFont="1" applyFill="1" applyBorder="1"/>
    <xf numFmtId="0" fontId="0" fillId="46" borderId="43" xfId="0" applyFill="1" applyBorder="1"/>
    <xf numFmtId="0" fontId="16" fillId="46" borderId="2" xfId="0" applyFont="1" applyFill="1" applyBorder="1"/>
    <xf numFmtId="8" fontId="16" fillId="46" borderId="2" xfId="0" applyNumberFormat="1" applyFont="1" applyFill="1" applyBorder="1"/>
    <xf numFmtId="0" fontId="16" fillId="46" borderId="4" xfId="0" applyFont="1" applyFill="1" applyBorder="1"/>
    <xf numFmtId="165" fontId="16" fillId="46" borderId="2" xfId="0" applyNumberFormat="1" applyFont="1" applyFill="1" applyBorder="1"/>
    <xf numFmtId="166" fontId="16" fillId="46" borderId="2" xfId="0" applyNumberFormat="1" applyFont="1" applyFill="1" applyBorder="1"/>
    <xf numFmtId="166" fontId="17" fillId="0" borderId="87" xfId="0" applyNumberFormat="1" applyFont="1" applyBorder="1"/>
    <xf numFmtId="166" fontId="0" fillId="46" borderId="2" xfId="0" applyNumberFormat="1" applyFill="1" applyBorder="1"/>
    <xf numFmtId="0" fontId="17" fillId="30" borderId="43" xfId="0" applyFont="1" applyFill="1" applyBorder="1"/>
    <xf numFmtId="0" fontId="17" fillId="30" borderId="2" xfId="0" applyFont="1" applyFill="1" applyBorder="1"/>
    <xf numFmtId="8" fontId="17" fillId="30" borderId="2" xfId="0" applyNumberFormat="1" applyFont="1" applyFill="1" applyBorder="1"/>
    <xf numFmtId="0" fontId="17" fillId="30" borderId="4" xfId="0" applyFont="1" applyFill="1" applyBorder="1"/>
    <xf numFmtId="8" fontId="0" fillId="30" borderId="43" xfId="0" applyNumberFormat="1" applyFill="1" applyBorder="1"/>
    <xf numFmtId="0" fontId="0" fillId="30" borderId="43" xfId="0" applyFill="1" applyBorder="1"/>
    <xf numFmtId="8" fontId="0" fillId="30" borderId="2" xfId="0" applyNumberFormat="1" applyFill="1" applyBorder="1"/>
    <xf numFmtId="0" fontId="17" fillId="14" borderId="43" xfId="0" applyFont="1" applyFill="1" applyBorder="1"/>
    <xf numFmtId="0" fontId="17" fillId="14" borderId="2" xfId="0" applyFont="1" applyFill="1" applyBorder="1"/>
    <xf numFmtId="8" fontId="17" fillId="14" borderId="2" xfId="0" applyNumberFormat="1" applyFont="1" applyFill="1" applyBorder="1"/>
    <xf numFmtId="165" fontId="17" fillId="14" borderId="2" xfId="0" applyNumberFormat="1" applyFont="1" applyFill="1" applyBorder="1"/>
    <xf numFmtId="0" fontId="17" fillId="14" borderId="4" xfId="0" applyFont="1" applyFill="1" applyBorder="1"/>
    <xf numFmtId="8" fontId="0" fillId="14" borderId="43" xfId="0" applyNumberFormat="1" applyFill="1" applyBorder="1"/>
    <xf numFmtId="8" fontId="0" fillId="14" borderId="2" xfId="0" applyNumberFormat="1" applyFill="1" applyBorder="1"/>
    <xf numFmtId="0" fontId="0" fillId="14" borderId="43" xfId="0" applyFill="1" applyBorder="1"/>
    <xf numFmtId="0" fontId="17" fillId="9" borderId="43" xfId="0" applyFont="1" applyFill="1" applyBorder="1"/>
    <xf numFmtId="0" fontId="17" fillId="9" borderId="2" xfId="0" applyFont="1" applyFill="1" applyBorder="1"/>
    <xf numFmtId="8" fontId="17" fillId="9" borderId="2" xfId="0" applyNumberFormat="1" applyFont="1" applyFill="1" applyBorder="1"/>
    <xf numFmtId="0" fontId="17" fillId="9" borderId="4" xfId="0" applyFont="1" applyFill="1" applyBorder="1"/>
    <xf numFmtId="0" fontId="0" fillId="9" borderId="43" xfId="0" applyFill="1" applyBorder="1"/>
    <xf numFmtId="8" fontId="0" fillId="9" borderId="2" xfId="0" applyNumberFormat="1" applyFill="1" applyBorder="1"/>
    <xf numFmtId="8" fontId="0" fillId="9" borderId="43" xfId="0" applyNumberFormat="1" applyFill="1" applyBorder="1"/>
    <xf numFmtId="0" fontId="17" fillId="26" borderId="43" xfId="0" applyFont="1" applyFill="1" applyBorder="1"/>
    <xf numFmtId="0" fontId="17" fillId="26" borderId="2" xfId="0" applyFont="1" applyFill="1" applyBorder="1"/>
    <xf numFmtId="8" fontId="17" fillId="26" borderId="2" xfId="0" applyNumberFormat="1" applyFont="1" applyFill="1" applyBorder="1"/>
    <xf numFmtId="0" fontId="17" fillId="26" borderId="4" xfId="0" applyFont="1" applyFill="1" applyBorder="1"/>
    <xf numFmtId="8" fontId="0" fillId="26" borderId="43" xfId="0" applyNumberFormat="1" applyFill="1" applyBorder="1"/>
    <xf numFmtId="8" fontId="0" fillId="26" borderId="2" xfId="0" applyNumberFormat="1" applyFill="1" applyBorder="1"/>
    <xf numFmtId="0" fontId="0" fillId="26" borderId="43" xfId="0" applyFill="1" applyBorder="1"/>
    <xf numFmtId="166" fontId="0" fillId="25" borderId="0" xfId="0" applyNumberFormat="1" applyFill="1"/>
    <xf numFmtId="8" fontId="0" fillId="25" borderId="0" xfId="0" applyNumberFormat="1" applyFill="1"/>
    <xf numFmtId="8" fontId="0" fillId="0" borderId="2" xfId="0" applyNumberFormat="1" applyBorder="1"/>
    <xf numFmtId="8" fontId="0" fillId="0" borderId="0" xfId="0" applyNumberFormat="1"/>
    <xf numFmtId="44" fontId="17" fillId="46" borderId="6" xfId="0" applyNumberFormat="1" applyFont="1" applyFill="1" applyBorder="1"/>
    <xf numFmtId="44" fontId="17" fillId="46" borderId="2" xfId="0" applyNumberFormat="1" applyFont="1" applyFill="1" applyBorder="1"/>
    <xf numFmtId="44" fontId="17" fillId="30" borderId="2" xfId="0" applyNumberFormat="1" applyFont="1" applyFill="1" applyBorder="1"/>
    <xf numFmtId="8" fontId="17" fillId="25" borderId="2" xfId="0" applyNumberFormat="1" applyFont="1" applyFill="1" applyBorder="1"/>
    <xf numFmtId="44" fontId="17" fillId="14" borderId="2" xfId="0" applyNumberFormat="1" applyFont="1" applyFill="1" applyBorder="1"/>
    <xf numFmtId="44" fontId="17" fillId="9" borderId="2" xfId="0" applyNumberFormat="1" applyFont="1" applyFill="1" applyBorder="1"/>
    <xf numFmtId="16" fontId="5" fillId="15" borderId="6" xfId="0" applyNumberFormat="1" applyFont="1" applyFill="1" applyBorder="1"/>
    <xf numFmtId="0" fontId="0" fillId="50" borderId="2" xfId="0" applyFill="1" applyBorder="1"/>
    <xf numFmtId="0" fontId="5" fillId="15" borderId="2" xfId="0" applyFont="1" applyFill="1" applyBorder="1"/>
    <xf numFmtId="0" fontId="17" fillId="30" borderId="6" xfId="0" applyFont="1" applyFill="1" applyBorder="1"/>
    <xf numFmtId="0" fontId="17" fillId="14" borderId="6" xfId="0" applyFont="1" applyFill="1" applyBorder="1"/>
    <xf numFmtId="0" fontId="17" fillId="9" borderId="6" xfId="0" applyFont="1" applyFill="1" applyBorder="1"/>
    <xf numFmtId="0" fontId="6" fillId="14" borderId="1" xfId="0" applyFont="1" applyFill="1" applyBorder="1"/>
    <xf numFmtId="0" fontId="17" fillId="0" borderId="1" xfId="0" applyFont="1" applyBorder="1"/>
    <xf numFmtId="0" fontId="6" fillId="34" borderId="1" xfId="0" applyFont="1" applyFill="1" applyBorder="1"/>
    <xf numFmtId="0" fontId="6" fillId="2" borderId="6" xfId="0" applyFont="1" applyFill="1" applyBorder="1"/>
    <xf numFmtId="0" fontId="11" fillId="0" borderId="1" xfId="0" applyFont="1" applyBorder="1"/>
    <xf numFmtId="16" fontId="6" fillId="2" borderId="16" xfId="0" applyNumberFormat="1" applyFont="1" applyFill="1" applyBorder="1"/>
    <xf numFmtId="2" fontId="0" fillId="0" borderId="23" xfId="0" applyNumberFormat="1" applyBorder="1"/>
    <xf numFmtId="164" fontId="0" fillId="0" borderId="23" xfId="0" applyNumberFormat="1" applyBorder="1"/>
    <xf numFmtId="1" fontId="0" fillId="0" borderId="32" xfId="0" applyNumberFormat="1" applyBorder="1"/>
    <xf numFmtId="0" fontId="0" fillId="0" borderId="90" xfId="0" applyBorder="1"/>
    <xf numFmtId="164" fontId="0" fillId="0" borderId="90" xfId="0" applyNumberFormat="1" applyBorder="1"/>
    <xf numFmtId="1" fontId="0" fillId="0" borderId="49" xfId="0" applyNumberFormat="1" applyBorder="1"/>
    <xf numFmtId="0" fontId="0" fillId="0" borderId="8" xfId="0" applyBorder="1"/>
    <xf numFmtId="0" fontId="37" fillId="0" borderId="78" xfId="0" applyFont="1" applyBorder="1"/>
    <xf numFmtId="0" fontId="38" fillId="0" borderId="90" xfId="0" applyFont="1" applyBorder="1" applyAlignment="1">
      <alignment horizontal="center"/>
    </xf>
    <xf numFmtId="2" fontId="0" fillId="0" borderId="9" xfId="0" applyNumberFormat="1" applyBorder="1"/>
    <xf numFmtId="0" fontId="3" fillId="15" borderId="2" xfId="0" applyFont="1" applyFill="1" applyBorder="1"/>
    <xf numFmtId="0" fontId="6" fillId="15" borderId="2" xfId="0" applyFont="1" applyFill="1" applyBorder="1" applyAlignment="1">
      <alignment horizontal="right"/>
    </xf>
    <xf numFmtId="0" fontId="6" fillId="15" borderId="2" xfId="0" applyFont="1" applyFill="1" applyBorder="1"/>
    <xf numFmtId="166" fontId="0" fillId="0" borderId="0" xfId="0" applyNumberFormat="1"/>
    <xf numFmtId="165" fontId="17" fillId="46" borderId="6" xfId="0" applyNumberFormat="1" applyFont="1" applyFill="1" applyBorder="1"/>
    <xf numFmtId="165" fontId="17" fillId="46" borderId="2" xfId="0" applyNumberFormat="1" applyFont="1" applyFill="1" applyBorder="1"/>
    <xf numFmtId="165" fontId="17" fillId="30" borderId="2" xfId="0" applyNumberFormat="1" applyFont="1" applyFill="1" applyBorder="1"/>
    <xf numFmtId="165" fontId="17" fillId="25" borderId="2" xfId="0" applyNumberFormat="1" applyFont="1" applyFill="1" applyBorder="1"/>
    <xf numFmtId="165" fontId="17" fillId="9" borderId="2" xfId="0" applyNumberFormat="1" applyFont="1" applyFill="1" applyBorder="1"/>
    <xf numFmtId="165" fontId="17" fillId="26" borderId="2" xfId="0" applyNumberFormat="1" applyFont="1" applyFill="1" applyBorder="1"/>
    <xf numFmtId="165" fontId="0" fillId="46" borderId="6" xfId="0" applyNumberFormat="1" applyFill="1" applyBorder="1"/>
    <xf numFmtId="165" fontId="0" fillId="46" borderId="2" xfId="0" applyNumberFormat="1" applyFill="1" applyBorder="1"/>
    <xf numFmtId="165" fontId="17" fillId="0" borderId="85" xfId="0" applyNumberFormat="1" applyFont="1" applyBorder="1"/>
    <xf numFmtId="165" fontId="17" fillId="0" borderId="87" xfId="0" applyNumberFormat="1" applyFont="1" applyBorder="1"/>
    <xf numFmtId="165" fontId="17" fillId="0" borderId="89" xfId="0" applyNumberFormat="1" applyFont="1" applyBorder="1"/>
    <xf numFmtId="0" fontId="0" fillId="46" borderId="54" xfId="0" applyFill="1" applyBorder="1"/>
    <xf numFmtId="0" fontId="0" fillId="46" borderId="14" xfId="0" applyFill="1" applyBorder="1"/>
    <xf numFmtId="0" fontId="0" fillId="30" borderId="14" xfId="0" applyFill="1" applyBorder="1"/>
    <xf numFmtId="0" fontId="0" fillId="14" borderId="14" xfId="0" applyFill="1" applyBorder="1"/>
    <xf numFmtId="0" fontId="0" fillId="9" borderId="14" xfId="0" applyFill="1" applyBorder="1"/>
    <xf numFmtId="0" fontId="0" fillId="26" borderId="14" xfId="0" applyFill="1" applyBorder="1"/>
    <xf numFmtId="0" fontId="35" fillId="0" borderId="31" xfId="0" applyFont="1" applyBorder="1"/>
    <xf numFmtId="0" fontId="36" fillId="0" borderId="0" xfId="0" applyFont="1"/>
    <xf numFmtId="0" fontId="60" fillId="0" borderId="33" xfId="0" applyFont="1" applyBorder="1" applyAlignment="1">
      <alignment horizontal="center"/>
    </xf>
    <xf numFmtId="0" fontId="61" fillId="0" borderId="29" xfId="0" applyFont="1" applyBorder="1" applyAlignment="1">
      <alignment horizontal="center"/>
    </xf>
    <xf numFmtId="0" fontId="61" fillId="0" borderId="91" xfId="0" applyFont="1" applyBorder="1" applyAlignment="1">
      <alignment horizontal="center"/>
    </xf>
    <xf numFmtId="0" fontId="61" fillId="0" borderId="10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0" xfId="0" applyBorder="1"/>
    <xf numFmtId="44" fontId="0" fillId="8" borderId="0" xfId="0" applyNumberFormat="1" applyFill="1"/>
    <xf numFmtId="0" fontId="0" fillId="30" borderId="95" xfId="0" applyFill="1" applyBorder="1"/>
    <xf numFmtId="0" fontId="0" fillId="30" borderId="96" xfId="0" applyFill="1" applyBorder="1"/>
    <xf numFmtId="0" fontId="0" fillId="30" borderId="8" xfId="0" applyFill="1" applyBorder="1"/>
    <xf numFmtId="0" fontId="0" fillId="30" borderId="6" xfId="0" applyFill="1" applyBorder="1"/>
    <xf numFmtId="44" fontId="0" fillId="30" borderId="6" xfId="0" applyNumberFormat="1" applyFill="1" applyBorder="1" applyAlignment="1">
      <alignment horizontal="right"/>
    </xf>
    <xf numFmtId="165" fontId="0" fillId="30" borderId="6" xfId="0" applyNumberFormat="1" applyFill="1" applyBorder="1" applyAlignment="1">
      <alignment horizontal="right"/>
    </xf>
    <xf numFmtId="1" fontId="0" fillId="30" borderId="6" xfId="0" applyNumberFormat="1" applyFill="1" applyBorder="1" applyAlignment="1">
      <alignment horizontal="center"/>
    </xf>
    <xf numFmtId="166" fontId="0" fillId="30" borderId="6" xfId="0" applyNumberFormat="1" applyFill="1" applyBorder="1" applyAlignment="1">
      <alignment horizontal="right"/>
    </xf>
    <xf numFmtId="0" fontId="0" fillId="30" borderId="94" xfId="0" applyFill="1" applyBorder="1"/>
    <xf numFmtId="166" fontId="0" fillId="30" borderId="2" xfId="0" applyNumberFormat="1" applyFill="1" applyBorder="1"/>
    <xf numFmtId="0" fontId="0" fillId="30" borderId="87" xfId="0" applyFill="1" applyBorder="1"/>
    <xf numFmtId="0" fontId="0" fillId="30" borderId="66" xfId="0" applyFill="1" applyBorder="1"/>
    <xf numFmtId="0" fontId="0" fillId="30" borderId="13" xfId="0" applyFill="1" applyBorder="1"/>
    <xf numFmtId="44" fontId="0" fillId="30" borderId="3" xfId="0" applyNumberFormat="1" applyFill="1" applyBorder="1" applyAlignment="1">
      <alignment horizontal="right"/>
    </xf>
    <xf numFmtId="44" fontId="0" fillId="30" borderId="2" xfId="0" applyNumberFormat="1" applyFill="1" applyBorder="1" applyAlignment="1">
      <alignment horizontal="right"/>
    </xf>
    <xf numFmtId="165" fontId="0" fillId="30" borderId="2" xfId="0" applyNumberFormat="1" applyFill="1" applyBorder="1" applyAlignment="1">
      <alignment horizontal="right"/>
    </xf>
    <xf numFmtId="1" fontId="0" fillId="30" borderId="2" xfId="0" applyNumberFormat="1" applyFill="1" applyBorder="1" applyAlignment="1">
      <alignment horizontal="center"/>
    </xf>
    <xf numFmtId="166" fontId="0" fillId="30" borderId="2" xfId="0" applyNumberFormat="1" applyFill="1" applyBorder="1" applyAlignment="1">
      <alignment horizontal="right"/>
    </xf>
    <xf numFmtId="44" fontId="0" fillId="30" borderId="13" xfId="0" applyNumberFormat="1" applyFill="1" applyBorder="1" applyAlignment="1">
      <alignment horizontal="right"/>
    </xf>
    <xf numFmtId="0" fontId="0" fillId="30" borderId="97" xfId="0" applyFill="1" applyBorder="1"/>
    <xf numFmtId="0" fontId="0" fillId="30" borderId="67" xfId="0" applyFill="1" applyBorder="1"/>
    <xf numFmtId="0" fontId="0" fillId="30" borderId="37" xfId="0" applyFill="1" applyBorder="1"/>
    <xf numFmtId="0" fontId="0" fillId="30" borderId="10" xfId="0" applyFill="1" applyBorder="1"/>
    <xf numFmtId="165" fontId="0" fillId="30" borderId="3" xfId="0" applyNumberFormat="1" applyFill="1" applyBorder="1" applyAlignment="1">
      <alignment horizontal="right"/>
    </xf>
    <xf numFmtId="1" fontId="0" fillId="30" borderId="3" xfId="0" applyNumberFormat="1" applyFill="1" applyBorder="1" applyAlignment="1">
      <alignment horizontal="center"/>
    </xf>
    <xf numFmtId="166" fontId="0" fillId="30" borderId="3" xfId="0" applyNumberFormat="1" applyFill="1" applyBorder="1" applyAlignment="1">
      <alignment horizontal="right"/>
    </xf>
    <xf numFmtId="0" fontId="0" fillId="52" borderId="85" xfId="0" applyFill="1" applyBorder="1"/>
    <xf numFmtId="0" fontId="0" fillId="52" borderId="98" xfId="0" applyFill="1" applyBorder="1"/>
    <xf numFmtId="0" fontId="0" fillId="52" borderId="94" xfId="0" applyFill="1" applyBorder="1"/>
    <xf numFmtId="0" fontId="0" fillId="52" borderId="2" xfId="0" applyFill="1" applyBorder="1"/>
    <xf numFmtId="166" fontId="0" fillId="52" borderId="2" xfId="0" applyNumberFormat="1" applyFill="1" applyBorder="1"/>
    <xf numFmtId="0" fontId="0" fillId="26" borderId="85" xfId="0" applyFill="1" applyBorder="1"/>
    <xf numFmtId="0" fontId="0" fillId="26" borderId="98" xfId="0" applyFill="1" applyBorder="1"/>
    <xf numFmtId="0" fontId="0" fillId="26" borderId="94" xfId="0" applyFill="1" applyBorder="1"/>
    <xf numFmtId="166" fontId="0" fillId="26" borderId="2" xfId="0" applyNumberFormat="1" applyFill="1" applyBorder="1"/>
    <xf numFmtId="0" fontId="0" fillId="53" borderId="39" xfId="0" applyFill="1" applyBorder="1"/>
    <xf numFmtId="44" fontId="0" fillId="53" borderId="39" xfId="0" applyNumberFormat="1" applyFill="1" applyBorder="1" applyAlignment="1">
      <alignment horizontal="right"/>
    </xf>
    <xf numFmtId="0" fontId="0" fillId="0" borderId="15" xfId="0" applyBorder="1"/>
    <xf numFmtId="0" fontId="0" fillId="0" borderId="78" xfId="0" applyBorder="1"/>
    <xf numFmtId="0" fontId="43" fillId="0" borderId="0" xfId="0" applyFont="1"/>
    <xf numFmtId="0" fontId="0" fillId="51" borderId="95" xfId="0" applyFill="1" applyBorder="1"/>
    <xf numFmtId="44" fontId="0" fillId="51" borderId="8" xfId="0" applyNumberFormat="1" applyFill="1" applyBorder="1"/>
    <xf numFmtId="44" fontId="0" fillId="30" borderId="13" xfId="0" applyNumberFormat="1" applyFill="1" applyBorder="1"/>
    <xf numFmtId="0" fontId="0" fillId="52" borderId="87" xfId="0" applyFill="1" applyBorder="1"/>
    <xf numFmtId="44" fontId="0" fillId="52" borderId="13" xfId="0" applyNumberFormat="1" applyFill="1" applyBorder="1"/>
    <xf numFmtId="44" fontId="0" fillId="52" borderId="2" xfId="0" applyNumberFormat="1" applyFill="1" applyBorder="1"/>
    <xf numFmtId="44" fontId="0" fillId="26" borderId="13" xfId="0" applyNumberFormat="1" applyFill="1" applyBorder="1"/>
    <xf numFmtId="44" fontId="0" fillId="25" borderId="32" xfId="0" applyNumberFormat="1" applyFill="1" applyBorder="1"/>
    <xf numFmtId="0" fontId="0" fillId="46" borderId="8" xfId="0" applyFill="1" applyBorder="1"/>
    <xf numFmtId="44" fontId="0" fillId="46" borderId="6" xfId="0" applyNumberFormat="1" applyFill="1" applyBorder="1"/>
    <xf numFmtId="44" fontId="0" fillId="46" borderId="6" xfId="0" applyNumberFormat="1" applyFill="1" applyBorder="1" applyAlignment="1">
      <alignment horizontal="right"/>
    </xf>
    <xf numFmtId="165" fontId="0" fillId="46" borderId="6" xfId="0" applyNumberFormat="1" applyFill="1" applyBorder="1" applyAlignment="1">
      <alignment horizontal="right"/>
    </xf>
    <xf numFmtId="1" fontId="0" fillId="46" borderId="6" xfId="0" applyNumberFormat="1" applyFill="1" applyBorder="1" applyAlignment="1">
      <alignment horizontal="center"/>
    </xf>
    <xf numFmtId="166" fontId="0" fillId="46" borderId="7" xfId="0" applyNumberFormat="1" applyFill="1" applyBorder="1" applyAlignment="1">
      <alignment horizontal="right"/>
    </xf>
    <xf numFmtId="165" fontId="0" fillId="46" borderId="2" xfId="0" applyNumberFormat="1" applyFill="1" applyBorder="1" applyAlignment="1">
      <alignment horizontal="right"/>
    </xf>
    <xf numFmtId="166" fontId="0" fillId="46" borderId="4" xfId="0" applyNumberFormat="1" applyFill="1" applyBorder="1" applyAlignment="1">
      <alignment horizontal="right"/>
    </xf>
    <xf numFmtId="44" fontId="0" fillId="46" borderId="2" xfId="0" applyNumberFormat="1" applyFill="1" applyBorder="1" applyAlignment="1">
      <alignment horizontal="right"/>
    </xf>
    <xf numFmtId="0" fontId="0" fillId="46" borderId="2" xfId="0" applyFill="1" applyBorder="1" applyAlignment="1">
      <alignment horizontal="right"/>
    </xf>
    <xf numFmtId="1" fontId="0" fillId="46" borderId="2" xfId="0" applyNumberFormat="1" applyFill="1" applyBorder="1" applyAlignment="1">
      <alignment horizontal="center"/>
    </xf>
    <xf numFmtId="166" fontId="0" fillId="46" borderId="2" xfId="0" applyNumberFormat="1" applyFill="1" applyBorder="1" applyAlignment="1">
      <alignment horizontal="right"/>
    </xf>
    <xf numFmtId="0" fontId="0" fillId="46" borderId="9" xfId="0" applyFill="1" applyBorder="1"/>
    <xf numFmtId="44" fontId="0" fillId="46" borderId="15" xfId="0" applyNumberFormat="1" applyFill="1" applyBorder="1"/>
    <xf numFmtId="44" fontId="0" fillId="46" borderId="15" xfId="0" applyNumberFormat="1" applyFill="1" applyBorder="1" applyAlignment="1">
      <alignment horizontal="right"/>
    </xf>
    <xf numFmtId="165" fontId="0" fillId="46" borderId="9" xfId="0" applyNumberFormat="1" applyFill="1" applyBorder="1"/>
    <xf numFmtId="1" fontId="0" fillId="46" borderId="9" xfId="0" applyNumberFormat="1" applyFill="1" applyBorder="1" applyAlignment="1">
      <alignment horizontal="center"/>
    </xf>
    <xf numFmtId="166" fontId="0" fillId="46" borderId="9" xfId="0" applyNumberFormat="1" applyFill="1" applyBorder="1" applyAlignment="1">
      <alignment horizontal="right"/>
    </xf>
    <xf numFmtId="0" fontId="0" fillId="46" borderId="88" xfId="0" applyFill="1" applyBorder="1"/>
    <xf numFmtId="0" fontId="0" fillId="46" borderId="92" xfId="0" applyFill="1" applyBorder="1"/>
    <xf numFmtId="0" fontId="0" fillId="46" borderId="93" xfId="0" applyFill="1" applyBorder="1"/>
    <xf numFmtId="166" fontId="0" fillId="46" borderId="93" xfId="0" applyNumberFormat="1" applyFill="1" applyBorder="1"/>
    <xf numFmtId="166" fontId="0" fillId="46" borderId="94" xfId="0" applyNumberFormat="1" applyFill="1" applyBorder="1"/>
    <xf numFmtId="0" fontId="0" fillId="46" borderId="94" xfId="0" applyFill="1" applyBorder="1"/>
    <xf numFmtId="0" fontId="0" fillId="46" borderId="87" xfId="0" applyFill="1" applyBorder="1"/>
    <xf numFmtId="0" fontId="0" fillId="46" borderId="89" xfId="0" applyFill="1" applyBorder="1"/>
    <xf numFmtId="0" fontId="0" fillId="46" borderId="13" xfId="0" applyFill="1" applyBorder="1"/>
    <xf numFmtId="0" fontId="0" fillId="46" borderId="99" xfId="0" applyFill="1" applyBorder="1"/>
    <xf numFmtId="0" fontId="0" fillId="46" borderId="96" xfId="0" applyFill="1" applyBorder="1"/>
    <xf numFmtId="0" fontId="0" fillId="46" borderId="66" xfId="0" applyFill="1" applyBorder="1"/>
    <xf numFmtId="0" fontId="0" fillId="46" borderId="84" xfId="0" applyFill="1" applyBorder="1"/>
    <xf numFmtId="0" fontId="6" fillId="40" borderId="16" xfId="0" applyFont="1" applyFill="1" applyBorder="1"/>
    <xf numFmtId="0" fontId="0" fillId="0" borderId="1" xfId="0" applyBorder="1"/>
    <xf numFmtId="0" fontId="17" fillId="0" borderId="28" xfId="0" applyFont="1" applyBorder="1"/>
    <xf numFmtId="0" fontId="3" fillId="54" borderId="3" xfId="0" applyFont="1" applyFill="1" applyBorder="1"/>
    <xf numFmtId="0" fontId="6" fillId="54" borderId="3" xfId="0" applyFont="1" applyFill="1" applyBorder="1"/>
    <xf numFmtId="0" fontId="23" fillId="0" borderId="3" xfId="0" applyFont="1" applyBorder="1"/>
    <xf numFmtId="0" fontId="3" fillId="0" borderId="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6" fillId="0" borderId="2" xfId="0" applyFont="1" applyBorder="1" applyAlignment="1">
      <alignment horizontal="right"/>
    </xf>
    <xf numFmtId="0" fontId="5" fillId="50" borderId="10" xfId="0" applyFont="1" applyFill="1" applyBorder="1"/>
    <xf numFmtId="0" fontId="6" fillId="50" borderId="10" xfId="0" applyFont="1" applyFill="1" applyBorder="1" applyAlignment="1">
      <alignment horizontal="right"/>
    </xf>
    <xf numFmtId="0" fontId="6" fillId="50" borderId="10" xfId="0" applyFont="1" applyFill="1" applyBorder="1"/>
    <xf numFmtId="0" fontId="10" fillId="50" borderId="11" xfId="0" applyFont="1" applyFill="1" applyBorder="1"/>
    <xf numFmtId="0" fontId="6" fillId="50" borderId="11" xfId="0" applyFont="1" applyFill="1" applyBorder="1"/>
    <xf numFmtId="0" fontId="9" fillId="50" borderId="10" xfId="0" applyFont="1" applyFill="1" applyBorder="1"/>
    <xf numFmtId="0" fontId="3" fillId="50" borderId="12" xfId="0" applyFont="1" applyFill="1" applyBorder="1"/>
    <xf numFmtId="0" fontId="3" fillId="50" borderId="3" xfId="0" applyFont="1" applyFill="1" applyBorder="1"/>
    <xf numFmtId="0" fontId="6" fillId="50" borderId="3" xfId="0" applyFont="1" applyFill="1" applyBorder="1" applyAlignment="1">
      <alignment horizontal="right"/>
    </xf>
    <xf numFmtId="0" fontId="6" fillId="50" borderId="3" xfId="0" applyFont="1" applyFill="1" applyBorder="1"/>
    <xf numFmtId="0" fontId="10" fillId="4" borderId="4" xfId="0" applyFont="1" applyFill="1" applyBorder="1"/>
    <xf numFmtId="0" fontId="5" fillId="2" borderId="8" xfId="0" applyFont="1" applyFill="1" applyBorder="1"/>
    <xf numFmtId="0" fontId="17" fillId="8" borderId="13" xfId="0" applyFont="1" applyFill="1" applyBorder="1"/>
    <xf numFmtId="0" fontId="3" fillId="5" borderId="6" xfId="0" applyFont="1" applyFill="1" applyBorder="1"/>
    <xf numFmtId="0" fontId="5" fillId="15" borderId="3" xfId="0" applyFont="1" applyFill="1" applyBorder="1"/>
    <xf numFmtId="0" fontId="0" fillId="0" borderId="11" xfId="0" applyBorder="1"/>
    <xf numFmtId="0" fontId="11" fillId="28" borderId="3" xfId="0" applyFont="1" applyFill="1" applyBorder="1"/>
    <xf numFmtId="0" fontId="3" fillId="0" borderId="5" xfId="0" applyFont="1" applyBorder="1"/>
    <xf numFmtId="0" fontId="3" fillId="0" borderId="17" xfId="0" applyFont="1" applyBorder="1"/>
    <xf numFmtId="0" fontId="3" fillId="0" borderId="37" xfId="0" applyFont="1" applyBorder="1"/>
    <xf numFmtId="0" fontId="11" fillId="28" borderId="6" xfId="0" applyFont="1" applyFill="1" applyBorder="1"/>
    <xf numFmtId="0" fontId="3" fillId="0" borderId="7" xfId="0" applyFont="1" applyBorder="1"/>
    <xf numFmtId="0" fontId="3" fillId="0" borderId="1" xfId="0" applyFont="1" applyBorder="1"/>
    <xf numFmtId="0" fontId="3" fillId="0" borderId="8" xfId="0" applyFont="1" applyBorder="1"/>
    <xf numFmtId="0" fontId="11" fillId="27" borderId="3" xfId="0" applyFont="1" applyFill="1" applyBorder="1"/>
    <xf numFmtId="0" fontId="11" fillId="27" borderId="6" xfId="0" applyFont="1" applyFill="1" applyBorder="1"/>
    <xf numFmtId="0" fontId="11" fillId="30" borderId="3" xfId="0" applyFont="1" applyFill="1" applyBorder="1"/>
    <xf numFmtId="0" fontId="11" fillId="30" borderId="6" xfId="0" applyFont="1" applyFill="1" applyBorder="1"/>
    <xf numFmtId="0" fontId="0" fillId="0" borderId="7" xfId="0" applyBorder="1"/>
    <xf numFmtId="0" fontId="3" fillId="50" borderId="2" xfId="0" applyFont="1" applyFill="1" applyBorder="1"/>
    <xf numFmtId="0" fontId="6" fillId="50" borderId="2" xfId="0" applyFont="1" applyFill="1" applyBorder="1" applyAlignment="1">
      <alignment horizontal="right"/>
    </xf>
    <xf numFmtId="0" fontId="6" fillId="50" borderId="2" xfId="0" applyFont="1" applyFill="1" applyBorder="1"/>
    <xf numFmtId="0" fontId="10" fillId="50" borderId="6" xfId="0" applyFont="1" applyFill="1" applyBorder="1"/>
    <xf numFmtId="0" fontId="11" fillId="50" borderId="6" xfId="0" applyFont="1" applyFill="1" applyBorder="1"/>
    <xf numFmtId="0" fontId="0" fillId="50" borderId="6" xfId="0" applyFill="1" applyBorder="1"/>
    <xf numFmtId="0" fontId="0" fillId="50" borderId="7" xfId="0" applyFill="1" applyBorder="1"/>
    <xf numFmtId="0" fontId="5" fillId="0" borderId="6" xfId="0" applyFont="1" applyBorder="1"/>
    <xf numFmtId="0" fontId="3" fillId="21" borderId="3" xfId="0" applyFont="1" applyFill="1" applyBorder="1"/>
    <xf numFmtId="0" fontId="11" fillId="21" borderId="2" xfId="0" applyFont="1" applyFill="1" applyBorder="1" applyAlignment="1">
      <alignment horizontal="right"/>
    </xf>
    <xf numFmtId="16" fontId="18" fillId="0" borderId="10" xfId="0" applyNumberFormat="1" applyFont="1" applyBorder="1"/>
    <xf numFmtId="0" fontId="3" fillId="14" borderId="13" xfId="0" applyFont="1" applyFill="1" applyBorder="1"/>
    <xf numFmtId="0" fontId="3" fillId="50" borderId="13" xfId="0" applyFont="1" applyFill="1" applyBorder="1"/>
    <xf numFmtId="0" fontId="10" fillId="50" borderId="4" xfId="0" applyFont="1" applyFill="1" applyBorder="1"/>
    <xf numFmtId="0" fontId="11" fillId="50" borderId="2" xfId="0" applyFont="1" applyFill="1" applyBorder="1"/>
    <xf numFmtId="0" fontId="5" fillId="50" borderId="13" xfId="0" applyFont="1" applyFill="1" applyBorder="1"/>
    <xf numFmtId="0" fontId="6" fillId="50" borderId="4" xfId="0" applyFont="1" applyFill="1" applyBorder="1"/>
    <xf numFmtId="0" fontId="15" fillId="21" borderId="13" xfId="0" applyFont="1" applyFill="1" applyBorder="1"/>
    <xf numFmtId="0" fontId="19" fillId="0" borderId="13" xfId="0" applyFont="1" applyBorder="1"/>
    <xf numFmtId="0" fontId="10" fillId="0" borderId="2" xfId="0" applyFont="1" applyBorder="1" applyAlignment="1">
      <alignment horizontal="right"/>
    </xf>
    <xf numFmtId="0" fontId="19" fillId="2" borderId="2" xfId="0" applyFont="1" applyFill="1" applyBorder="1"/>
    <xf numFmtId="0" fontId="10" fillId="2" borderId="2" xfId="0" applyFont="1" applyFill="1" applyBorder="1" applyAlignment="1">
      <alignment horizontal="right"/>
    </xf>
    <xf numFmtId="0" fontId="10" fillId="2" borderId="2" xfId="0" applyFont="1" applyFill="1" applyBorder="1"/>
    <xf numFmtId="0" fontId="65" fillId="2" borderId="2" xfId="0" applyFont="1" applyFill="1" applyBorder="1"/>
    <xf numFmtId="0" fontId="19" fillId="11" borderId="2" xfId="0" applyFont="1" applyFill="1" applyBorder="1"/>
    <xf numFmtId="0" fontId="10" fillId="11" borderId="2" xfId="0" applyFont="1" applyFill="1" applyBorder="1" applyAlignment="1">
      <alignment horizontal="right"/>
    </xf>
    <xf numFmtId="0" fontId="0" fillId="50" borderId="0" xfId="0" applyFill="1"/>
    <xf numFmtId="16" fontId="18" fillId="2" borderId="6" xfId="0" applyNumberFormat="1" applyFont="1" applyFill="1" applyBorder="1"/>
    <xf numFmtId="0" fontId="3" fillId="21" borderId="6" xfId="0" applyFont="1" applyFill="1" applyBorder="1"/>
    <xf numFmtId="0" fontId="15" fillId="12" borderId="13" xfId="0" applyFont="1" applyFill="1" applyBorder="1"/>
    <xf numFmtId="0" fontId="25" fillId="2" borderId="3" xfId="0" applyFont="1" applyFill="1" applyBorder="1"/>
    <xf numFmtId="0" fontId="6" fillId="21" borderId="3" xfId="0" applyFont="1" applyFill="1" applyBorder="1" applyAlignment="1">
      <alignment horizontal="right"/>
    </xf>
    <xf numFmtId="0" fontId="11" fillId="21" borderId="10" xfId="0" applyFont="1" applyFill="1" applyBorder="1"/>
    <xf numFmtId="0" fontId="6" fillId="21" borderId="10" xfId="0" applyFont="1" applyFill="1" applyBorder="1"/>
    <xf numFmtId="0" fontId="5" fillId="21" borderId="3" xfId="0" applyFont="1" applyFill="1" applyBorder="1"/>
    <xf numFmtId="0" fontId="0" fillId="50" borderId="3" xfId="0" applyFill="1" applyBorder="1"/>
    <xf numFmtId="0" fontId="3" fillId="21" borderId="8" xfId="0" applyFont="1" applyFill="1" applyBorder="1"/>
    <xf numFmtId="0" fontId="6" fillId="21" borderId="6" xfId="0" applyFont="1" applyFill="1" applyBorder="1" applyAlignment="1">
      <alignment horizontal="right"/>
    </xf>
    <xf numFmtId="0" fontId="6" fillId="21" borderId="7" xfId="0" applyFont="1" applyFill="1" applyBorder="1"/>
    <xf numFmtId="0" fontId="52" fillId="16" borderId="2" xfId="0" applyFont="1" applyFill="1" applyBorder="1"/>
    <xf numFmtId="16" fontId="0" fillId="0" borderId="2" xfId="0" applyNumberFormat="1" applyBorder="1"/>
    <xf numFmtId="0" fontId="15" fillId="22" borderId="13" xfId="0" applyFont="1" applyFill="1" applyBorder="1"/>
    <xf numFmtId="0" fontId="7" fillId="5" borderId="37" xfId="0" applyFont="1" applyFill="1" applyBorder="1"/>
    <xf numFmtId="0" fontId="10" fillId="0" borderId="3" xfId="0" applyFont="1" applyBorder="1"/>
    <xf numFmtId="0" fontId="8" fillId="5" borderId="37" xfId="0" applyFont="1" applyFill="1" applyBorder="1"/>
    <xf numFmtId="0" fontId="17" fillId="0" borderId="37" xfId="0" applyFont="1" applyBorder="1"/>
    <xf numFmtId="0" fontId="8" fillId="0" borderId="5" xfId="0" applyFont="1" applyBorder="1"/>
    <xf numFmtId="0" fontId="15" fillId="54" borderId="2" xfId="0" applyFont="1" applyFill="1" applyBorder="1"/>
    <xf numFmtId="0" fontId="11" fillId="54" borderId="2" xfId="0" applyFont="1" applyFill="1" applyBorder="1"/>
    <xf numFmtId="0" fontId="11" fillId="19" borderId="4" xfId="0" applyFont="1" applyFill="1" applyBorder="1"/>
    <xf numFmtId="0" fontId="11" fillId="28" borderId="16" xfId="0" applyFont="1" applyFill="1" applyBorder="1"/>
    <xf numFmtId="0" fontId="11" fillId="8" borderId="4" xfId="0" applyFont="1" applyFill="1" applyBorder="1"/>
    <xf numFmtId="0" fontId="16" fillId="0" borderId="2" xfId="0" applyFont="1" applyBorder="1"/>
    <xf numFmtId="0" fontId="16" fillId="0" borderId="4" xfId="0" applyFont="1" applyBorder="1"/>
    <xf numFmtId="0" fontId="11" fillId="0" borderId="3" xfId="0" applyFont="1" applyBorder="1"/>
    <xf numFmtId="0" fontId="6" fillId="32" borderId="1" xfId="0" applyFont="1" applyFill="1" applyBorder="1"/>
    <xf numFmtId="0" fontId="6" fillId="9" borderId="16" xfId="0" applyFont="1" applyFill="1" applyBorder="1"/>
    <xf numFmtId="0" fontId="11" fillId="5" borderId="7" xfId="0" applyFont="1" applyFill="1" applyBorder="1"/>
    <xf numFmtId="0" fontId="6" fillId="2" borderId="3" xfId="0" applyFont="1" applyFill="1" applyBorder="1"/>
    <xf numFmtId="0" fontId="66" fillId="0" borderId="2" xfId="0" applyFont="1" applyBorder="1"/>
    <xf numFmtId="0" fontId="67" fillId="5" borderId="2" xfId="0" applyFont="1" applyFill="1" applyBorder="1"/>
    <xf numFmtId="0" fontId="68" fillId="19" borderId="4" xfId="0" applyFont="1" applyFill="1" applyBorder="1"/>
    <xf numFmtId="0" fontId="68" fillId="5" borderId="16" xfId="0" applyFont="1" applyFill="1" applyBorder="1"/>
    <xf numFmtId="0" fontId="68" fillId="0" borderId="2" xfId="0" applyFont="1" applyBorder="1"/>
    <xf numFmtId="0" fontId="11" fillId="32" borderId="17" xfId="0" applyFont="1" applyFill="1" applyBorder="1"/>
    <xf numFmtId="1" fontId="0" fillId="46" borderId="13" xfId="0" applyNumberFormat="1" applyFill="1" applyBorder="1"/>
    <xf numFmtId="16" fontId="66" fillId="0" borderId="2" xfId="0" applyNumberFormat="1" applyFont="1" applyBorder="1"/>
    <xf numFmtId="0" fontId="6" fillId="5" borderId="10" xfId="0" applyFont="1" applyFill="1" applyBorder="1"/>
    <xf numFmtId="0" fontId="33" fillId="5" borderId="3" xfId="0" applyFont="1" applyFill="1" applyBorder="1"/>
    <xf numFmtId="0" fontId="3" fillId="0" borderId="2" xfId="0" applyFont="1" applyBorder="1" applyAlignment="1">
      <alignment wrapText="1"/>
    </xf>
    <xf numFmtId="0" fontId="0" fillId="29" borderId="2" xfId="0" applyFill="1" applyBorder="1"/>
    <xf numFmtId="15" fontId="6" fillId="5" borderId="2" xfId="0" applyNumberFormat="1" applyFont="1" applyFill="1" applyBorder="1"/>
    <xf numFmtId="0" fontId="6" fillId="34" borderId="13" xfId="0" applyFont="1" applyFill="1" applyBorder="1"/>
    <xf numFmtId="0" fontId="11" fillId="30" borderId="13" xfId="0" applyFont="1" applyFill="1" applyBorder="1"/>
    <xf numFmtId="0" fontId="11" fillId="34" borderId="13" xfId="0" applyFont="1" applyFill="1" applyBorder="1"/>
    <xf numFmtId="0" fontId="6" fillId="30" borderId="13" xfId="0" applyFont="1" applyFill="1" applyBorder="1"/>
    <xf numFmtId="0" fontId="66" fillId="32" borderId="13" xfId="0" applyFont="1" applyFill="1" applyBorder="1"/>
    <xf numFmtId="16" fontId="5" fillId="0" borderId="2" xfId="0" applyNumberFormat="1" applyFont="1" applyBorder="1"/>
    <xf numFmtId="0" fontId="15" fillId="16" borderId="6" xfId="0" applyFont="1" applyFill="1" applyBorder="1"/>
    <xf numFmtId="0" fontId="16" fillId="0" borderId="16" xfId="0" applyFont="1" applyBorder="1"/>
    <xf numFmtId="1" fontId="0" fillId="39" borderId="5" xfId="0" applyNumberFormat="1" applyFill="1" applyBorder="1" applyAlignment="1">
      <alignment horizontal="center"/>
    </xf>
    <xf numFmtId="0" fontId="6" fillId="9" borderId="17" xfId="0" applyFont="1" applyFill="1" applyBorder="1"/>
    <xf numFmtId="0" fontId="11" fillId="5" borderId="3" xfId="0" applyFont="1" applyFill="1" applyBorder="1"/>
    <xf numFmtId="0" fontId="5" fillId="50" borderId="2" xfId="0" applyFont="1" applyFill="1" applyBorder="1"/>
    <xf numFmtId="0" fontId="3" fillId="0" borderId="3" xfId="0" applyFont="1" applyBorder="1" applyAlignment="1">
      <alignment horizontal="left"/>
    </xf>
    <xf numFmtId="0" fontId="1" fillId="50" borderId="0" xfId="0" applyFont="1" applyFill="1"/>
    <xf numFmtId="0" fontId="3" fillId="50" borderId="3" xfId="0" applyFont="1" applyFill="1" applyBorder="1" applyAlignment="1">
      <alignment horizontal="left"/>
    </xf>
    <xf numFmtId="0" fontId="4" fillId="50" borderId="2" xfId="0" applyFont="1" applyFill="1" applyBorder="1"/>
    <xf numFmtId="0" fontId="3" fillId="50" borderId="4" xfId="0" applyFont="1" applyFill="1" applyBorder="1"/>
    <xf numFmtId="0" fontId="11" fillId="8" borderId="2" xfId="0" applyFont="1" applyFill="1" applyBorder="1"/>
    <xf numFmtId="0" fontId="29" fillId="0" borderId="0" xfId="0" applyFont="1"/>
    <xf numFmtId="0" fontId="6" fillId="16" borderId="2" xfId="0" applyFont="1" applyFill="1" applyBorder="1"/>
    <xf numFmtId="0" fontId="3" fillId="3" borderId="13" xfId="0" applyFont="1" applyFill="1" applyBorder="1"/>
    <xf numFmtId="0" fontId="15" fillId="8" borderId="39" xfId="0" applyFont="1" applyFill="1" applyBorder="1"/>
    <xf numFmtId="0" fontId="5" fillId="8" borderId="2" xfId="0" applyFont="1" applyFill="1" applyBorder="1"/>
    <xf numFmtId="0" fontId="7" fillId="0" borderId="2" xfId="0" applyFont="1" applyBorder="1"/>
    <xf numFmtId="16" fontId="64" fillId="0" borderId="2" xfId="0" applyNumberFormat="1" applyFont="1" applyBorder="1"/>
    <xf numFmtId="0" fontId="4" fillId="0" borderId="3" xfId="0" applyFont="1" applyBorder="1"/>
    <xf numFmtId="0" fontId="0" fillId="46" borderId="21" xfId="0" applyFill="1" applyBorder="1"/>
    <xf numFmtId="8" fontId="0" fillId="46" borderId="13" xfId="0" applyNumberFormat="1" applyFill="1" applyBorder="1"/>
    <xf numFmtId="8" fontId="0" fillId="30" borderId="13" xfId="0" applyNumberFormat="1" applyFill="1" applyBorder="1"/>
    <xf numFmtId="8" fontId="0" fillId="14" borderId="13" xfId="0" applyNumberFormat="1" applyFill="1" applyBorder="1"/>
    <xf numFmtId="0" fontId="0" fillId="14" borderId="13" xfId="0" applyFill="1" applyBorder="1"/>
    <xf numFmtId="0" fontId="0" fillId="9" borderId="13" xfId="0" applyFill="1" applyBorder="1"/>
    <xf numFmtId="8" fontId="0" fillId="9" borderId="13" xfId="0" applyNumberFormat="1" applyFill="1" applyBorder="1"/>
    <xf numFmtId="8" fontId="0" fillId="26" borderId="13" xfId="0" applyNumberFormat="1" applyFill="1" applyBorder="1"/>
    <xf numFmtId="0" fontId="0" fillId="26" borderId="13" xfId="0" applyFill="1" applyBorder="1"/>
    <xf numFmtId="0" fontId="0" fillId="0" borderId="99" xfId="0" applyBorder="1"/>
    <xf numFmtId="0" fontId="6" fillId="19" borderId="0" xfId="0" applyFont="1" applyFill="1"/>
    <xf numFmtId="0" fontId="6" fillId="24" borderId="7" xfId="0" applyFont="1" applyFill="1" applyBorder="1"/>
    <xf numFmtId="0" fontId="11" fillId="0" borderId="11" xfId="0" applyFont="1" applyBorder="1"/>
    <xf numFmtId="0" fontId="6" fillId="46" borderId="4" xfId="0" applyFont="1" applyFill="1" applyBorder="1"/>
    <xf numFmtId="0" fontId="12" fillId="0" borderId="4" xfId="0" applyFont="1" applyBorder="1"/>
    <xf numFmtId="0" fontId="6" fillId="6" borderId="3" xfId="0" applyFont="1" applyFill="1" applyBorder="1"/>
    <xf numFmtId="0" fontId="8" fillId="5" borderId="6" xfId="0" applyFont="1" applyFill="1" applyBorder="1"/>
    <xf numFmtId="0" fontId="6" fillId="50" borderId="16" xfId="0" applyFont="1" applyFill="1" applyBorder="1"/>
    <xf numFmtId="0" fontId="11" fillId="50" borderId="4" xfId="0" applyFont="1" applyFill="1" applyBorder="1"/>
    <xf numFmtId="0" fontId="6" fillId="50" borderId="6" xfId="0" applyFont="1" applyFill="1" applyBorder="1"/>
    <xf numFmtId="16" fontId="11" fillId="0" borderId="4" xfId="0" applyNumberFormat="1" applyFont="1" applyBorder="1"/>
    <xf numFmtId="0" fontId="11" fillId="0" borderId="13" xfId="0" applyFont="1" applyBorder="1"/>
    <xf numFmtId="0" fontId="11" fillId="28" borderId="17" xfId="0" applyFont="1" applyFill="1" applyBorder="1"/>
    <xf numFmtId="0" fontId="11" fillId="0" borderId="17" xfId="0" applyFont="1" applyBorder="1"/>
    <xf numFmtId="0" fontId="5" fillId="2" borderId="16" xfId="0" applyFont="1" applyFill="1" applyBorder="1"/>
    <xf numFmtId="0" fontId="17" fillId="16" borderId="4" xfId="0" applyFont="1" applyFill="1" applyBorder="1"/>
    <xf numFmtId="0" fontId="16" fillId="0" borderId="18" xfId="0" applyFont="1" applyBorder="1"/>
    <xf numFmtId="0" fontId="16" fillId="0" borderId="19" xfId="0" applyFont="1" applyBorder="1"/>
    <xf numFmtId="0" fontId="69" fillId="0" borderId="39" xfId="0" applyFont="1" applyBorder="1"/>
    <xf numFmtId="0" fontId="70" fillId="0" borderId="40" xfId="0" applyFont="1" applyBorder="1"/>
    <xf numFmtId="0" fontId="70" fillId="0" borderId="19" xfId="0" applyFont="1" applyBorder="1"/>
    <xf numFmtId="0" fontId="16" fillId="0" borderId="24" xfId="0" applyFont="1" applyBorder="1"/>
    <xf numFmtId="0" fontId="55" fillId="0" borderId="22" xfId="0" applyFont="1" applyBorder="1"/>
    <xf numFmtId="0" fontId="71" fillId="0" borderId="23" xfId="0" applyFont="1" applyBorder="1"/>
    <xf numFmtId="0" fontId="71" fillId="0" borderId="31" xfId="0" applyFont="1" applyBorder="1"/>
    <xf numFmtId="0" fontId="52" fillId="0" borderId="23" xfId="0" applyFont="1" applyBorder="1"/>
    <xf numFmtId="0" fontId="52" fillId="0" borderId="35" xfId="0" applyFont="1" applyBorder="1"/>
    <xf numFmtId="0" fontId="16" fillId="46" borderId="86" xfId="0" applyFont="1" applyFill="1" applyBorder="1"/>
    <xf numFmtId="0" fontId="16" fillId="46" borderId="6" xfId="0" applyFont="1" applyFill="1" applyBorder="1"/>
    <xf numFmtId="165" fontId="16" fillId="46" borderId="6" xfId="0" applyNumberFormat="1" applyFont="1" applyFill="1" applyBorder="1"/>
    <xf numFmtId="0" fontId="16" fillId="46" borderId="7" xfId="0" applyFont="1" applyFill="1" applyBorder="1"/>
    <xf numFmtId="165" fontId="16" fillId="0" borderId="85" xfId="0" applyNumberFormat="1" applyFont="1" applyBorder="1"/>
    <xf numFmtId="0" fontId="72" fillId="46" borderId="53" xfId="0" applyFont="1" applyFill="1" applyBorder="1"/>
    <xf numFmtId="165" fontId="16" fillId="0" borderId="87" xfId="0" applyNumberFormat="1" applyFont="1" applyBorder="1"/>
    <xf numFmtId="0" fontId="72" fillId="46" borderId="2" xfId="0" applyFont="1" applyFill="1" applyBorder="1"/>
    <xf numFmtId="0" fontId="16" fillId="14" borderId="43" xfId="0" applyFont="1" applyFill="1" applyBorder="1"/>
    <xf numFmtId="0" fontId="16" fillId="14" borderId="2" xfId="0" applyFont="1" applyFill="1" applyBorder="1"/>
    <xf numFmtId="165" fontId="16" fillId="14" borderId="2" xfId="0" applyNumberFormat="1" applyFont="1" applyFill="1" applyBorder="1"/>
    <xf numFmtId="0" fontId="16" fillId="14" borderId="4" xfId="0" applyFont="1" applyFill="1" applyBorder="1"/>
    <xf numFmtId="0" fontId="16" fillId="9" borderId="43" xfId="0" applyFont="1" applyFill="1" applyBorder="1"/>
    <xf numFmtId="0" fontId="16" fillId="9" borderId="2" xfId="0" applyFont="1" applyFill="1" applyBorder="1"/>
    <xf numFmtId="165" fontId="16" fillId="9" borderId="2" xfId="0" applyNumberFormat="1" applyFont="1" applyFill="1" applyBorder="1"/>
    <xf numFmtId="0" fontId="16" fillId="9" borderId="4" xfId="0" applyFont="1" applyFill="1" applyBorder="1"/>
    <xf numFmtId="0" fontId="16" fillId="26" borderId="43" xfId="0" applyFont="1" applyFill="1" applyBorder="1"/>
    <xf numFmtId="0" fontId="16" fillId="26" borderId="2" xfId="0" applyFont="1" applyFill="1" applyBorder="1"/>
    <xf numFmtId="165" fontId="16" fillId="26" borderId="2" xfId="0" applyNumberFormat="1" applyFont="1" applyFill="1" applyBorder="1"/>
    <xf numFmtId="0" fontId="16" fillId="26" borderId="4" xfId="0" applyFont="1" applyFill="1" applyBorder="1"/>
    <xf numFmtId="0" fontId="8" fillId="5" borderId="13" xfId="0" applyFont="1" applyFill="1" applyBorder="1"/>
    <xf numFmtId="0" fontId="11" fillId="13" borderId="4" xfId="0" applyFont="1" applyFill="1" applyBorder="1"/>
    <xf numFmtId="0" fontId="6" fillId="13" borderId="5" xfId="0" applyFont="1" applyFill="1" applyBorder="1"/>
    <xf numFmtId="164" fontId="0" fillId="0" borderId="26" xfId="0" applyNumberFormat="1" applyBorder="1"/>
    <xf numFmtId="16" fontId="6" fillId="0" borderId="4" xfId="0" applyNumberFormat="1" applyFont="1" applyBorder="1"/>
    <xf numFmtId="0" fontId="33" fillId="5" borderId="0" xfId="0" applyFont="1" applyFill="1"/>
    <xf numFmtId="0" fontId="33" fillId="0" borderId="6" xfId="0" applyFont="1" applyBorder="1"/>
    <xf numFmtId="0" fontId="6" fillId="27" borderId="2" xfId="0" applyFont="1" applyFill="1" applyBorder="1"/>
    <xf numFmtId="165" fontId="16" fillId="0" borderId="0" xfId="0" applyNumberFormat="1" applyFont="1"/>
    <xf numFmtId="0" fontId="1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0" fillId="50" borderId="13" xfId="0" applyFill="1" applyBorder="1"/>
    <xf numFmtId="0" fontId="6" fillId="9" borderId="2" xfId="0" applyFont="1" applyFill="1" applyBorder="1"/>
    <xf numFmtId="0" fontId="16" fillId="9" borderId="13" xfId="0" applyFont="1" applyFill="1" applyBorder="1"/>
    <xf numFmtId="0" fontId="16" fillId="14" borderId="3" xfId="0" applyFont="1" applyFill="1" applyBorder="1"/>
    <xf numFmtId="0" fontId="16" fillId="26" borderId="6" xfId="0" applyFont="1" applyFill="1" applyBorder="1"/>
    <xf numFmtId="165" fontId="0" fillId="46" borderId="43" xfId="0" applyNumberFormat="1" applyFill="1" applyBorder="1"/>
    <xf numFmtId="165" fontId="0" fillId="46" borderId="52" xfId="0" applyNumberFormat="1" applyFill="1" applyBorder="1"/>
    <xf numFmtId="165" fontId="0" fillId="14" borderId="2" xfId="0" applyNumberFormat="1" applyFill="1" applyBorder="1"/>
    <xf numFmtId="0" fontId="0" fillId="9" borderId="3" xfId="0" applyFill="1" applyBorder="1"/>
    <xf numFmtId="165" fontId="0" fillId="9" borderId="2" xfId="0" applyNumberFormat="1" applyFill="1" applyBorder="1"/>
    <xf numFmtId="165" fontId="0" fillId="26" borderId="2" xfId="0" applyNumberFormat="1" applyFill="1" applyBorder="1"/>
    <xf numFmtId="0" fontId="43" fillId="25" borderId="31" xfId="0" applyFont="1" applyFill="1" applyBorder="1"/>
    <xf numFmtId="165" fontId="43" fillId="25" borderId="32" xfId="0" applyNumberFormat="1" applyFont="1" applyFill="1" applyBorder="1"/>
    <xf numFmtId="165" fontId="0" fillId="0" borderId="2" xfId="0" applyNumberFormat="1" applyBorder="1"/>
    <xf numFmtId="8" fontId="43" fillId="25" borderId="32" xfId="0" applyNumberFormat="1" applyFont="1" applyFill="1" applyBorder="1"/>
    <xf numFmtId="0" fontId="19" fillId="4" borderId="2" xfId="0" applyFont="1" applyFill="1" applyBorder="1"/>
    <xf numFmtId="0" fontId="6" fillId="22" borderId="2" xfId="0" applyFont="1" applyFill="1" applyBorder="1" applyAlignment="1">
      <alignment wrapText="1"/>
    </xf>
    <xf numFmtId="0" fontId="40" fillId="39" borderId="53" xfId="0" applyFont="1" applyFill="1" applyBorder="1"/>
    <xf numFmtId="0" fontId="43" fillId="39" borderId="53" xfId="0" applyFont="1" applyFill="1" applyBorder="1"/>
    <xf numFmtId="0" fontId="43" fillId="39" borderId="54" xfId="0" applyFont="1" applyFill="1" applyBorder="1"/>
    <xf numFmtId="16" fontId="64" fillId="0" borderId="6" xfId="0" applyNumberFormat="1" applyFont="1" applyBorder="1"/>
    <xf numFmtId="0" fontId="10" fillId="0" borderId="13" xfId="0" applyFont="1" applyBorder="1"/>
    <xf numFmtId="0" fontId="8" fillId="9" borderId="2" xfId="0" applyFont="1" applyFill="1" applyBorder="1"/>
    <xf numFmtId="0" fontId="11" fillId="0" borderId="3" xfId="0" applyFont="1" applyBorder="1" applyAlignment="1">
      <alignment horizontal="left" vertical="center" wrapText="1"/>
    </xf>
    <xf numFmtId="0" fontId="6" fillId="8" borderId="11" xfId="0" applyFont="1" applyFill="1" applyBorder="1"/>
    <xf numFmtId="0" fontId="66" fillId="0" borderId="2" xfId="0" applyFont="1" applyBorder="1" applyAlignment="1">
      <alignment wrapText="1"/>
    </xf>
    <xf numFmtId="0" fontId="11" fillId="13" borderId="6" xfId="0" applyFont="1" applyFill="1" applyBorder="1"/>
    <xf numFmtId="0" fontId="73" fillId="0" borderId="2" xfId="0" applyFont="1" applyBorder="1"/>
    <xf numFmtId="0" fontId="56" fillId="55" borderId="18" xfId="0" applyFont="1" applyFill="1" applyBorder="1"/>
    <xf numFmtId="0" fontId="0" fillId="55" borderId="19" xfId="0" applyFill="1" applyBorder="1"/>
    <xf numFmtId="0" fontId="0" fillId="55" borderId="24" xfId="0" applyFill="1" applyBorder="1"/>
    <xf numFmtId="0" fontId="43" fillId="55" borderId="3" xfId="0" applyFont="1" applyFill="1" applyBorder="1"/>
    <xf numFmtId="0" fontId="43" fillId="55" borderId="44" xfId="0" applyFont="1" applyFill="1" applyBorder="1"/>
    <xf numFmtId="0" fontId="0" fillId="55" borderId="3" xfId="0" applyFill="1" applyBorder="1"/>
    <xf numFmtId="165" fontId="0" fillId="55" borderId="37" xfId="0" applyNumberFormat="1" applyFill="1" applyBorder="1"/>
    <xf numFmtId="1" fontId="0" fillId="55" borderId="3" xfId="0" applyNumberFormat="1" applyFill="1" applyBorder="1"/>
    <xf numFmtId="165" fontId="0" fillId="55" borderId="14" xfId="0" applyNumberFormat="1" applyFill="1" applyBorder="1"/>
    <xf numFmtId="165" fontId="0" fillId="55" borderId="3" xfId="0" applyNumberFormat="1" applyFill="1" applyBorder="1"/>
    <xf numFmtId="165" fontId="0" fillId="55" borderId="44" xfId="0" applyNumberFormat="1" applyFill="1" applyBorder="1"/>
    <xf numFmtId="0" fontId="0" fillId="55" borderId="2" xfId="0" applyFill="1" applyBorder="1"/>
    <xf numFmtId="165" fontId="0" fillId="55" borderId="2" xfId="0" applyNumberFormat="1" applyFill="1" applyBorder="1"/>
    <xf numFmtId="1" fontId="0" fillId="55" borderId="2" xfId="0" applyNumberFormat="1" applyFill="1" applyBorder="1"/>
    <xf numFmtId="0" fontId="0" fillId="55" borderId="15" xfId="0" applyFill="1" applyBorder="1"/>
    <xf numFmtId="165" fontId="0" fillId="55" borderId="78" xfId="0" applyNumberFormat="1" applyFill="1" applyBorder="1"/>
    <xf numFmtId="0" fontId="11" fillId="19" borderId="2" xfId="0" applyFont="1" applyFill="1" applyBorder="1"/>
    <xf numFmtId="0" fontId="18" fillId="5" borderId="2" xfId="0" applyFont="1" applyFill="1" applyBorder="1"/>
    <xf numFmtId="0" fontId="10" fillId="4" borderId="2" xfId="0" applyFont="1" applyFill="1" applyBorder="1" applyAlignment="1">
      <alignment horizontal="right"/>
    </xf>
    <xf numFmtId="0" fontId="0" fillId="15" borderId="0" xfId="0" applyFill="1"/>
    <xf numFmtId="0" fontId="10" fillId="15" borderId="2" xfId="0" applyFont="1" applyFill="1" applyBorder="1"/>
    <xf numFmtId="0" fontId="3" fillId="15" borderId="13" xfId="0" applyFont="1" applyFill="1" applyBorder="1"/>
    <xf numFmtId="0" fontId="5" fillId="0" borderId="3" xfId="0" applyFont="1" applyBorder="1"/>
    <xf numFmtId="0" fontId="23" fillId="15" borderId="3" xfId="0" applyFont="1" applyFill="1" applyBorder="1"/>
    <xf numFmtId="0" fontId="11" fillId="29" borderId="16" xfId="0" applyFont="1" applyFill="1" applyBorder="1"/>
    <xf numFmtId="0" fontId="11" fillId="28" borderId="2" xfId="0" applyFont="1" applyFill="1" applyBorder="1"/>
    <xf numFmtId="0" fontId="15" fillId="0" borderId="5" xfId="0" applyFont="1" applyBorder="1"/>
    <xf numFmtId="0" fontId="8" fillId="0" borderId="3" xfId="0" applyFont="1" applyBorder="1"/>
    <xf numFmtId="0" fontId="8" fillId="0" borderId="17" xfId="0" applyFont="1" applyBorder="1"/>
    <xf numFmtId="0" fontId="15" fillId="13" borderId="2" xfId="0" applyFont="1" applyFill="1" applyBorder="1"/>
    <xf numFmtId="0" fontId="11" fillId="13" borderId="2" xfId="0" applyFont="1" applyFill="1" applyBorder="1" applyAlignment="1">
      <alignment horizontal="right"/>
    </xf>
    <xf numFmtId="0" fontId="11" fillId="13" borderId="0" xfId="0" applyFont="1" applyFill="1"/>
    <xf numFmtId="0" fontId="6" fillId="2" borderId="5" xfId="0" applyFont="1" applyFill="1" applyBorder="1"/>
    <xf numFmtId="0" fontId="15" fillId="13" borderId="13" xfId="0" applyFont="1" applyFill="1" applyBorder="1"/>
    <xf numFmtId="165" fontId="0" fillId="9" borderId="43" xfId="0" applyNumberFormat="1" applyFill="1" applyBorder="1"/>
    <xf numFmtId="165" fontId="0" fillId="46" borderId="13" xfId="0" applyNumberFormat="1" applyFill="1" applyBorder="1"/>
    <xf numFmtId="165" fontId="0" fillId="30" borderId="2" xfId="0" applyNumberFormat="1" applyFill="1" applyBorder="1"/>
    <xf numFmtId="0" fontId="15" fillId="14" borderId="2" xfId="0" applyFont="1" applyFill="1" applyBorder="1"/>
    <xf numFmtId="0" fontId="11" fillId="14" borderId="2" xfId="0" applyFont="1" applyFill="1" applyBorder="1" applyAlignment="1">
      <alignment horizontal="right"/>
    </xf>
    <xf numFmtId="165" fontId="0" fillId="46" borderId="53" xfId="0" applyNumberFormat="1" applyFill="1" applyBorder="1"/>
    <xf numFmtId="1" fontId="16" fillId="0" borderId="0" xfId="0" applyNumberFormat="1" applyFont="1"/>
    <xf numFmtId="0" fontId="16" fillId="0" borderId="25" xfId="0" applyFont="1" applyBorder="1"/>
    <xf numFmtId="8" fontId="16" fillId="0" borderId="0" xfId="0" applyNumberFormat="1" applyFont="1"/>
    <xf numFmtId="0" fontId="50" fillId="0" borderId="25" xfId="0" applyFont="1" applyBorder="1"/>
    <xf numFmtId="0" fontId="74" fillId="0" borderId="0" xfId="0" applyFont="1"/>
    <xf numFmtId="0" fontId="52" fillId="0" borderId="81" xfId="0" applyFont="1" applyBorder="1"/>
    <xf numFmtId="0" fontId="52" fillId="0" borderId="79" xfId="0" applyFont="1" applyBorder="1"/>
    <xf numFmtId="165" fontId="0" fillId="46" borderId="14" xfId="0" applyNumberFormat="1" applyFill="1" applyBorder="1"/>
    <xf numFmtId="165" fontId="0" fillId="9" borderId="14" xfId="0" applyNumberFormat="1" applyFill="1" applyBorder="1"/>
    <xf numFmtId="166" fontId="0" fillId="25" borderId="32" xfId="0" applyNumberFormat="1" applyFill="1" applyBorder="1"/>
    <xf numFmtId="0" fontId="0" fillId="25" borderId="31" xfId="0" applyFill="1" applyBorder="1"/>
    <xf numFmtId="8" fontId="0" fillId="0" borderId="14" xfId="0" applyNumberFormat="1" applyBorder="1"/>
    <xf numFmtId="166" fontId="0" fillId="0" borderId="14" xfId="0" applyNumberFormat="1" applyBorder="1"/>
    <xf numFmtId="0" fontId="71" fillId="0" borderId="0" xfId="0" applyFont="1"/>
    <xf numFmtId="0" fontId="52" fillId="0" borderId="80" xfId="0" applyFont="1" applyBorder="1"/>
    <xf numFmtId="165" fontId="16" fillId="0" borderId="100" xfId="0" applyNumberFormat="1" applyFont="1" applyBorder="1"/>
    <xf numFmtId="0" fontId="69" fillId="0" borderId="0" xfId="0" applyFont="1"/>
    <xf numFmtId="166" fontId="0" fillId="26" borderId="94" xfId="0" applyNumberFormat="1" applyFill="1" applyBorder="1"/>
    <xf numFmtId="165" fontId="16" fillId="0" borderId="101" xfId="0" applyNumberFormat="1" applyFont="1" applyBorder="1"/>
    <xf numFmtId="166" fontId="0" fillId="30" borderId="94" xfId="0" applyNumberFormat="1" applyFill="1" applyBorder="1"/>
    <xf numFmtId="166" fontId="0" fillId="8" borderId="16" xfId="0" applyNumberFormat="1" applyFill="1" applyBorder="1"/>
    <xf numFmtId="0" fontId="0" fillId="52" borderId="10" xfId="0" applyFill="1" applyBorder="1"/>
    <xf numFmtId="44" fontId="0" fillId="52" borderId="2" xfId="0" applyNumberFormat="1" applyFill="1" applyBorder="1" applyAlignment="1">
      <alignment horizontal="right"/>
    </xf>
    <xf numFmtId="0" fontId="0" fillId="52" borderId="13" xfId="0" applyFill="1" applyBorder="1"/>
    <xf numFmtId="44" fontId="0" fillId="26" borderId="2" xfId="0" applyNumberFormat="1" applyFill="1" applyBorder="1" applyAlignment="1">
      <alignment horizontal="right"/>
    </xf>
    <xf numFmtId="44" fontId="0" fillId="26" borderId="2" xfId="0" applyNumberFormat="1" applyFill="1" applyBorder="1"/>
    <xf numFmtId="1" fontId="0" fillId="26" borderId="2" xfId="0" applyNumberFormat="1" applyFill="1" applyBorder="1" applyAlignment="1">
      <alignment horizontal="center"/>
    </xf>
    <xf numFmtId="0" fontId="0" fillId="52" borderId="12" xfId="0" applyFill="1" applyBorder="1"/>
    <xf numFmtId="44" fontId="0" fillId="52" borderId="10" xfId="0" applyNumberFormat="1" applyFill="1" applyBorder="1"/>
    <xf numFmtId="0" fontId="0" fillId="26" borderId="8" xfId="0" applyFill="1" applyBorder="1"/>
    <xf numFmtId="0" fontId="0" fillId="26" borderId="6" xfId="0" applyFill="1" applyBorder="1"/>
    <xf numFmtId="0" fontId="0" fillId="26" borderId="10" xfId="0" applyFill="1" applyBorder="1"/>
    <xf numFmtId="44" fontId="0" fillId="26" borderId="10" xfId="0" applyNumberFormat="1" applyFill="1" applyBorder="1" applyAlignment="1">
      <alignment horizontal="right"/>
    </xf>
    <xf numFmtId="44" fontId="0" fillId="26" borderId="6" xfId="0" applyNumberFormat="1" applyFill="1" applyBorder="1" applyAlignment="1">
      <alignment horizontal="right"/>
    </xf>
    <xf numFmtId="44" fontId="0" fillId="26" borderId="6" xfId="0" applyNumberFormat="1" applyFill="1" applyBorder="1"/>
    <xf numFmtId="1" fontId="0" fillId="26" borderId="6" xfId="0" applyNumberFormat="1" applyFill="1" applyBorder="1" applyAlignment="1">
      <alignment horizontal="center"/>
    </xf>
    <xf numFmtId="0" fontId="0" fillId="52" borderId="26" xfId="0" applyFill="1" applyBorder="1"/>
    <xf numFmtId="0" fontId="0" fillId="26" borderId="96" xfId="0" applyFill="1" applyBorder="1"/>
    <xf numFmtId="0" fontId="0" fillId="52" borderId="33" xfId="0" applyFill="1" applyBorder="1"/>
    <xf numFmtId="0" fontId="0" fillId="26" borderId="95" xfId="0" applyFill="1" applyBorder="1"/>
    <xf numFmtId="0" fontId="61" fillId="0" borderId="51" xfId="0" applyFont="1" applyBorder="1" applyAlignment="1">
      <alignment horizontal="center"/>
    </xf>
    <xf numFmtId="0" fontId="0" fillId="46" borderId="44" xfId="0" applyFill="1" applyBorder="1"/>
    <xf numFmtId="0" fontId="0" fillId="46" borderId="68" xfId="0" applyFill="1" applyBorder="1"/>
    <xf numFmtId="0" fontId="0" fillId="30" borderId="49" xfId="0" applyFill="1" applyBorder="1"/>
    <xf numFmtId="0" fontId="0" fillId="30" borderId="44" xfId="0" applyFill="1" applyBorder="1"/>
    <xf numFmtId="0" fontId="0" fillId="52" borderId="14" xfId="0" applyFill="1" applyBorder="1"/>
    <xf numFmtId="0" fontId="0" fillId="52" borderId="51" xfId="0" applyFill="1" applyBorder="1"/>
    <xf numFmtId="0" fontId="0" fillId="26" borderId="49" xfId="0" applyFill="1" applyBorder="1"/>
    <xf numFmtId="0" fontId="0" fillId="0" borderId="102" xfId="0" applyBorder="1"/>
    <xf numFmtId="1" fontId="16" fillId="0" borderId="29" xfId="0" applyNumberFormat="1" applyFont="1" applyBorder="1"/>
    <xf numFmtId="165" fontId="47" fillId="0" borderId="0" xfId="0" applyNumberFormat="1" applyFont="1"/>
    <xf numFmtId="0" fontId="48" fillId="0" borderId="0" xfId="0" applyFont="1"/>
    <xf numFmtId="0" fontId="47" fillId="0" borderId="0" xfId="0" applyFont="1"/>
    <xf numFmtId="1" fontId="54" fillId="0" borderId="104" xfId="0" applyNumberFormat="1" applyFont="1" applyBorder="1"/>
    <xf numFmtId="0" fontId="54" fillId="0" borderId="104" xfId="0" applyFont="1" applyBorder="1"/>
    <xf numFmtId="0" fontId="52" fillId="0" borderId="32" xfId="0" applyFont="1" applyBorder="1"/>
    <xf numFmtId="0" fontId="17" fillId="0" borderId="103" xfId="0" applyFont="1" applyBorder="1"/>
    <xf numFmtId="0" fontId="16" fillId="0" borderId="103" xfId="0" applyFont="1" applyBorder="1"/>
    <xf numFmtId="1" fontId="54" fillId="0" borderId="103" xfId="0" applyNumberFormat="1" applyFont="1" applyBorder="1"/>
    <xf numFmtId="0" fontId="0" fillId="0" borderId="104" xfId="0" applyBorder="1"/>
    <xf numFmtId="0" fontId="43" fillId="0" borderId="32" xfId="0" applyFont="1" applyBorder="1"/>
    <xf numFmtId="0" fontId="47" fillId="0" borderId="80" xfId="0" applyFont="1" applyBorder="1"/>
    <xf numFmtId="44" fontId="17" fillId="0" borderId="0" xfId="0" applyNumberFormat="1" applyFont="1"/>
    <xf numFmtId="166" fontId="0" fillId="52" borderId="13" xfId="0" applyNumberFormat="1" applyFill="1" applyBorder="1"/>
    <xf numFmtId="166" fontId="0" fillId="26" borderId="13" xfId="0" applyNumberFormat="1" applyFill="1" applyBorder="1"/>
    <xf numFmtId="166" fontId="0" fillId="51" borderId="96" xfId="0" applyNumberFormat="1" applyFill="1" applyBorder="1"/>
    <xf numFmtId="44" fontId="0" fillId="30" borderId="66" xfId="0" applyNumberFormat="1" applyFill="1" applyBorder="1"/>
    <xf numFmtId="44" fontId="0" fillId="52" borderId="66" xfId="0" applyNumberFormat="1" applyFill="1" applyBorder="1"/>
    <xf numFmtId="44" fontId="0" fillId="26" borderId="66" xfId="0" applyNumberFormat="1" applyFill="1" applyBorder="1"/>
    <xf numFmtId="167" fontId="16" fillId="0" borderId="0" xfId="0" applyNumberFormat="1" applyFont="1"/>
    <xf numFmtId="0" fontId="54" fillId="0" borderId="0" xfId="0" applyFont="1"/>
    <xf numFmtId="1" fontId="54" fillId="0" borderId="106" xfId="0" applyNumberFormat="1" applyFont="1" applyBorder="1"/>
    <xf numFmtId="0" fontId="16" fillId="0" borderId="107" xfId="0" applyFont="1" applyBorder="1"/>
    <xf numFmtId="165" fontId="16" fillId="0" borderId="108" xfId="0" applyNumberFormat="1" applyFont="1" applyBorder="1"/>
    <xf numFmtId="1" fontId="54" fillId="0" borderId="105" xfId="0" applyNumberFormat="1" applyFont="1" applyBorder="1"/>
    <xf numFmtId="0" fontId="0" fillId="0" borderId="106" xfId="0" applyBorder="1"/>
    <xf numFmtId="1" fontId="54" fillId="0" borderId="29" xfId="0" applyNumberFormat="1" applyFont="1" applyBorder="1"/>
    <xf numFmtId="0" fontId="75" fillId="0" borderId="56" xfId="0" applyFont="1" applyBorder="1"/>
    <xf numFmtId="0" fontId="75" fillId="0" borderId="0" xfId="0" applyFont="1" applyAlignment="1">
      <alignment wrapText="1"/>
    </xf>
    <xf numFmtId="44" fontId="75" fillId="8" borderId="13" xfId="0" applyNumberFormat="1" applyFont="1" applyFill="1" applyBorder="1"/>
    <xf numFmtId="44" fontId="75" fillId="0" borderId="2" xfId="0" applyNumberFormat="1" applyFont="1" applyBorder="1"/>
    <xf numFmtId="44" fontId="75" fillId="0" borderId="60" xfId="0" applyNumberFormat="1" applyFont="1" applyBorder="1"/>
    <xf numFmtId="165" fontId="75" fillId="0" borderId="0" xfId="0" applyNumberFormat="1" applyFont="1"/>
    <xf numFmtId="44" fontId="75" fillId="8" borderId="37" xfId="0" applyNumberFormat="1" applyFont="1" applyFill="1" applyBorder="1"/>
    <xf numFmtId="44" fontId="75" fillId="8" borderId="2" xfId="0" applyNumberFormat="1" applyFont="1" applyFill="1" applyBorder="1"/>
    <xf numFmtId="44" fontId="75" fillId="0" borderId="9" xfId="0" applyNumberFormat="1" applyFont="1" applyBorder="1"/>
    <xf numFmtId="44" fontId="75" fillId="0" borderId="62" xfId="0" applyNumberFormat="1" applyFont="1" applyBorder="1"/>
    <xf numFmtId="8" fontId="75" fillId="0" borderId="2" xfId="0" applyNumberFormat="1" applyFont="1" applyBorder="1"/>
    <xf numFmtId="8" fontId="75" fillId="8" borderId="37" xfId="0" applyNumberFormat="1" applyFont="1" applyFill="1" applyBorder="1"/>
    <xf numFmtId="8" fontId="75" fillId="0" borderId="60" xfId="0" applyNumberFormat="1" applyFont="1" applyBorder="1"/>
    <xf numFmtId="8" fontId="75" fillId="0" borderId="3" xfId="0" applyNumberFormat="1" applyFont="1" applyBorder="1"/>
    <xf numFmtId="8" fontId="75" fillId="0" borderId="111" xfId="0" applyNumberFormat="1" applyFont="1" applyBorder="1"/>
    <xf numFmtId="0" fontId="46" fillId="0" borderId="0" xfId="0" applyFont="1"/>
    <xf numFmtId="8" fontId="17" fillId="0" borderId="0" xfId="0" applyNumberFormat="1" applyFont="1"/>
    <xf numFmtId="0" fontId="51" fillId="0" borderId="0" xfId="0" applyFont="1"/>
    <xf numFmtId="165" fontId="51" fillId="0" borderId="0" xfId="0" applyNumberFormat="1" applyFont="1"/>
    <xf numFmtId="1" fontId="0" fillId="0" borderId="19" xfId="0" applyNumberFormat="1" applyBorder="1"/>
    <xf numFmtId="0" fontId="52" fillId="0" borderId="63" xfId="0" applyFont="1" applyBorder="1"/>
    <xf numFmtId="0" fontId="52" fillId="0" borderId="39" xfId="0" applyFont="1" applyBorder="1"/>
    <xf numFmtId="0" fontId="52" fillId="0" borderId="64" xfId="0" applyFont="1" applyBorder="1"/>
    <xf numFmtId="0" fontId="71" fillId="0" borderId="63" xfId="0" applyFont="1" applyBorder="1"/>
    <xf numFmtId="0" fontId="43" fillId="0" borderId="24" xfId="0" applyFont="1" applyBorder="1"/>
    <xf numFmtId="166" fontId="17" fillId="0" borderId="26" xfId="0" applyNumberFormat="1" applyFont="1" applyBorder="1"/>
    <xf numFmtId="166" fontId="16" fillId="0" borderId="26" xfId="0" applyNumberFormat="1" applyFont="1" applyBorder="1"/>
    <xf numFmtId="0" fontId="39" fillId="37" borderId="28" xfId="0" applyFont="1" applyFill="1" applyBorder="1"/>
    <xf numFmtId="165" fontId="39" fillId="37" borderId="30" xfId="0" applyNumberFormat="1" applyFont="1" applyFill="1" applyBorder="1"/>
    <xf numFmtId="44" fontId="17" fillId="0" borderId="26" xfId="0" applyNumberFormat="1" applyFont="1" applyBorder="1"/>
    <xf numFmtId="44" fontId="17" fillId="0" borderId="30" xfId="0" applyNumberFormat="1" applyFont="1" applyBorder="1"/>
    <xf numFmtId="165" fontId="39" fillId="37" borderId="36" xfId="0" applyNumberFormat="1" applyFont="1" applyFill="1" applyBorder="1"/>
    <xf numFmtId="0" fontId="0" fillId="55" borderId="29" xfId="0" applyFill="1" applyBorder="1"/>
    <xf numFmtId="0" fontId="0" fillId="55" borderId="30" xfId="0" applyFill="1" applyBorder="1"/>
    <xf numFmtId="0" fontId="0" fillId="45" borderId="29" xfId="0" applyFill="1" applyBorder="1"/>
    <xf numFmtId="0" fontId="0" fillId="45" borderId="30" xfId="0" applyFill="1" applyBorder="1"/>
    <xf numFmtId="0" fontId="42" fillId="25" borderId="29" xfId="0" applyFont="1" applyFill="1" applyBorder="1"/>
    <xf numFmtId="165" fontId="42" fillId="25" borderId="30" xfId="0" applyNumberFormat="1" applyFont="1" applyFill="1" applyBorder="1"/>
    <xf numFmtId="0" fontId="57" fillId="25" borderId="29" xfId="0" applyFont="1" applyFill="1" applyBorder="1"/>
    <xf numFmtId="165" fontId="43" fillId="25" borderId="30" xfId="0" applyNumberFormat="1" applyFont="1" applyFill="1" applyBorder="1"/>
    <xf numFmtId="0" fontId="42" fillId="25" borderId="31" xfId="0" applyFont="1" applyFill="1" applyBorder="1"/>
    <xf numFmtId="166" fontId="42" fillId="25" borderId="32" xfId="0" applyNumberFormat="1" applyFont="1" applyFill="1" applyBorder="1"/>
    <xf numFmtId="1" fontId="0" fillId="43" borderId="3" xfId="0" applyNumberFormat="1" applyFill="1" applyBorder="1" applyAlignment="1">
      <alignment horizontal="center"/>
    </xf>
    <xf numFmtId="44" fontId="0" fillId="38" borderId="29" xfId="0" applyNumberFormat="1" applyFill="1" applyBorder="1"/>
    <xf numFmtId="0" fontId="0" fillId="38" borderId="29" xfId="0" applyFill="1" applyBorder="1"/>
    <xf numFmtId="0" fontId="0" fillId="38" borderId="30" xfId="0" applyFill="1" applyBorder="1"/>
    <xf numFmtId="0" fontId="0" fillId="55" borderId="6" xfId="0" applyFill="1" applyBorder="1"/>
    <xf numFmtId="165" fontId="0" fillId="55" borderId="6" xfId="0" applyNumberFormat="1" applyFill="1" applyBorder="1"/>
    <xf numFmtId="166" fontId="0" fillId="8" borderId="54" xfId="0" applyNumberFormat="1" applyFill="1" applyBorder="1"/>
    <xf numFmtId="0" fontId="0" fillId="8" borderId="52" xfId="0" applyFill="1" applyBorder="1"/>
    <xf numFmtId="0" fontId="43" fillId="25" borderId="55" xfId="0" applyFont="1" applyFill="1" applyBorder="1"/>
    <xf numFmtId="166" fontId="43" fillId="25" borderId="78" xfId="0" applyNumberFormat="1" applyFont="1" applyFill="1" applyBorder="1"/>
    <xf numFmtId="165" fontId="0" fillId="40" borderId="49" xfId="0" applyNumberFormat="1" applyFill="1" applyBorder="1"/>
    <xf numFmtId="165" fontId="0" fillId="40" borderId="51" xfId="0" applyNumberFormat="1" applyFill="1" applyBorder="1"/>
    <xf numFmtId="165" fontId="0" fillId="40" borderId="44" xfId="0" applyNumberFormat="1" applyFill="1" applyBorder="1"/>
    <xf numFmtId="165" fontId="0" fillId="32" borderId="14" xfId="0" applyNumberFormat="1" applyFill="1" applyBorder="1"/>
    <xf numFmtId="165" fontId="0" fillId="32" borderId="44" xfId="0" applyNumberFormat="1" applyFill="1" applyBorder="1"/>
    <xf numFmtId="165" fontId="0" fillId="41" borderId="44" xfId="0" applyNumberFormat="1" applyFill="1" applyBorder="1"/>
    <xf numFmtId="165" fontId="0" fillId="42" borderId="44" xfId="0" applyNumberFormat="1" applyFill="1" applyBorder="1"/>
    <xf numFmtId="165" fontId="0" fillId="43" borderId="14" xfId="0" applyNumberFormat="1" applyFill="1" applyBorder="1"/>
    <xf numFmtId="165" fontId="0" fillId="43" borderId="44" xfId="0" applyNumberFormat="1" applyFill="1" applyBorder="1"/>
    <xf numFmtId="165" fontId="0" fillId="44" borderId="44" xfId="0" applyNumberFormat="1" applyFill="1" applyBorder="1"/>
    <xf numFmtId="0" fontId="0" fillId="0" borderId="86" xfId="0" applyBorder="1"/>
    <xf numFmtId="0" fontId="0" fillId="8" borderId="6" xfId="0" applyFill="1" applyBorder="1"/>
    <xf numFmtId="16" fontId="0" fillId="0" borderId="86" xfId="0" applyNumberFormat="1" applyBorder="1"/>
    <xf numFmtId="0" fontId="0" fillId="0" borderId="20" xfId="0" applyBorder="1" applyAlignment="1">
      <alignment horizontal="left"/>
    </xf>
    <xf numFmtId="14" fontId="0" fillId="15" borderId="43" xfId="0" applyNumberFormat="1" applyFill="1" applyBorder="1"/>
    <xf numFmtId="0" fontId="0" fillId="50" borderId="43" xfId="0" applyFill="1" applyBorder="1"/>
    <xf numFmtId="0" fontId="0" fillId="50" borderId="2" xfId="0" applyFill="1" applyBorder="1" applyAlignment="1">
      <alignment horizontal="left"/>
    </xf>
    <xf numFmtId="0" fontId="0" fillId="50" borderId="14" xfId="0" applyFill="1" applyBorder="1"/>
    <xf numFmtId="0" fontId="0" fillId="15" borderId="3" xfId="0" applyFill="1" applyBorder="1"/>
    <xf numFmtId="0" fontId="0" fillId="46" borderId="3" xfId="0" applyFill="1" applyBorder="1"/>
    <xf numFmtId="0" fontId="0" fillId="26" borderId="9" xfId="0" applyFill="1" applyBorder="1"/>
    <xf numFmtId="0" fontId="16" fillId="14" borderId="13" xfId="0" applyFont="1" applyFill="1" applyBorder="1"/>
    <xf numFmtId="0" fontId="42" fillId="25" borderId="28" xfId="0" applyFont="1" applyFill="1" applyBorder="1"/>
    <xf numFmtId="166" fontId="42" fillId="25" borderId="30" xfId="0" applyNumberFormat="1" applyFont="1" applyFill="1" applyBorder="1"/>
    <xf numFmtId="0" fontId="0" fillId="38" borderId="9" xfId="0" applyFill="1" applyBorder="1" applyAlignment="1">
      <alignment horizontal="center"/>
    </xf>
    <xf numFmtId="44" fontId="0" fillId="38" borderId="68" xfId="0" applyNumberFormat="1" applyFill="1" applyBorder="1"/>
    <xf numFmtId="0" fontId="0" fillId="40" borderId="9" xfId="0" applyFill="1" applyBorder="1" applyAlignment="1">
      <alignment horizontal="center"/>
    </xf>
    <xf numFmtId="165" fontId="0" fillId="40" borderId="68" xfId="0" applyNumberFormat="1" applyFill="1" applyBorder="1"/>
    <xf numFmtId="0" fontId="0" fillId="32" borderId="29" xfId="0" applyFill="1" applyBorder="1"/>
    <xf numFmtId="0" fontId="0" fillId="32" borderId="30" xfId="0" applyFill="1" applyBorder="1"/>
    <xf numFmtId="0" fontId="43" fillId="25" borderId="29" xfId="0" applyFont="1" applyFill="1" applyBorder="1"/>
    <xf numFmtId="166" fontId="43" fillId="25" borderId="30" xfId="0" applyNumberFormat="1" applyFont="1" applyFill="1" applyBorder="1"/>
    <xf numFmtId="165" fontId="0" fillId="14" borderId="43" xfId="0" applyNumberFormat="1" applyFill="1" applyBorder="1"/>
    <xf numFmtId="0" fontId="0" fillId="26" borderId="3" xfId="0" applyFill="1" applyBorder="1"/>
    <xf numFmtId="0" fontId="0" fillId="44" borderId="50" xfId="0" applyFill="1" applyBorder="1"/>
    <xf numFmtId="1" fontId="0" fillId="44" borderId="112" xfId="0" applyNumberFormat="1" applyFill="1" applyBorder="1" applyAlignment="1">
      <alignment horizontal="center"/>
    </xf>
    <xf numFmtId="165" fontId="0" fillId="44" borderId="113" xfId="0" applyNumberFormat="1" applyFill="1" applyBorder="1"/>
    <xf numFmtId="0" fontId="0" fillId="0" borderId="114" xfId="0" applyBorder="1"/>
    <xf numFmtId="165" fontId="0" fillId="0" borderId="114" xfId="0" applyNumberFormat="1" applyBorder="1"/>
    <xf numFmtId="1" fontId="0" fillId="0" borderId="114" xfId="0" applyNumberFormat="1" applyBorder="1"/>
    <xf numFmtId="165" fontId="0" fillId="0" borderId="115" xfId="0" applyNumberFormat="1" applyBorder="1"/>
    <xf numFmtId="0" fontId="17" fillId="0" borderId="116" xfId="0" applyFont="1" applyBorder="1"/>
    <xf numFmtId="0" fontId="0" fillId="0" borderId="117" xfId="0" applyBorder="1"/>
    <xf numFmtId="8" fontId="16" fillId="9" borderId="0" xfId="0" applyNumberFormat="1" applyFont="1" applyFill="1"/>
    <xf numFmtId="0" fontId="16" fillId="9" borderId="0" xfId="0" applyFont="1" applyFill="1"/>
    <xf numFmtId="165" fontId="16" fillId="9" borderId="0" xfId="0" applyNumberFormat="1" applyFont="1" applyFill="1"/>
    <xf numFmtId="1" fontId="16" fillId="9" borderId="0" xfId="0" applyNumberFormat="1" applyFont="1" applyFill="1"/>
    <xf numFmtId="44" fontId="16" fillId="9" borderId="26" xfId="0" applyNumberFormat="1" applyFont="1" applyFill="1" applyBorder="1"/>
    <xf numFmtId="0" fontId="0" fillId="32" borderId="118" xfId="0" applyFill="1" applyBorder="1"/>
    <xf numFmtId="165" fontId="0" fillId="32" borderId="118" xfId="0" applyNumberFormat="1" applyFill="1" applyBorder="1"/>
    <xf numFmtId="0" fontId="0" fillId="32" borderId="119" xfId="0" applyFill="1" applyBorder="1" applyAlignment="1">
      <alignment horizontal="center"/>
    </xf>
    <xf numFmtId="165" fontId="0" fillId="32" borderId="113" xfId="0" applyNumberFormat="1" applyFill="1" applyBorder="1"/>
    <xf numFmtId="0" fontId="0" fillId="0" borderId="116" xfId="0" applyBorder="1"/>
    <xf numFmtId="1" fontId="54" fillId="0" borderId="0" xfId="0" applyNumberFormat="1" applyFont="1"/>
    <xf numFmtId="0" fontId="0" fillId="0" borderId="119" xfId="0" applyBorder="1"/>
    <xf numFmtId="0" fontId="0" fillId="0" borderId="121" xfId="0" applyBorder="1"/>
    <xf numFmtId="0" fontId="0" fillId="0" borderId="122" xfId="0" applyBorder="1"/>
    <xf numFmtId="0" fontId="0" fillId="0" borderId="123" xfId="0" applyBorder="1"/>
    <xf numFmtId="0" fontId="0" fillId="0" borderId="124" xfId="0" applyBorder="1"/>
    <xf numFmtId="0" fontId="0" fillId="0" borderId="125" xfId="0" applyBorder="1"/>
    <xf numFmtId="0" fontId="0" fillId="0" borderId="126" xfId="0" applyBorder="1"/>
    <xf numFmtId="0" fontId="0" fillId="0" borderId="127" xfId="0" applyBorder="1"/>
    <xf numFmtId="0" fontId="0" fillId="0" borderId="128" xfId="0" applyBorder="1"/>
    <xf numFmtId="0" fontId="0" fillId="0" borderId="129" xfId="0" applyBorder="1"/>
    <xf numFmtId="0" fontId="0" fillId="0" borderId="130" xfId="0" applyBorder="1"/>
    <xf numFmtId="0" fontId="0" fillId="0" borderId="132" xfId="0" applyBorder="1"/>
    <xf numFmtId="0" fontId="0" fillId="0" borderId="37" xfId="0" applyBorder="1"/>
    <xf numFmtId="0" fontId="0" fillId="0" borderId="134" xfId="0" applyBorder="1"/>
    <xf numFmtId="0" fontId="0" fillId="0" borderId="135" xfId="0" applyBorder="1"/>
    <xf numFmtId="0" fontId="0" fillId="0" borderId="136" xfId="0" applyBorder="1"/>
    <xf numFmtId="0" fontId="0" fillId="0" borderId="137" xfId="0" applyBorder="1"/>
    <xf numFmtId="0" fontId="0" fillId="0" borderId="138" xfId="0" applyBorder="1"/>
    <xf numFmtId="0" fontId="0" fillId="0" borderId="118" xfId="0" applyBorder="1"/>
    <xf numFmtId="0" fontId="0" fillId="0" borderId="141" xfId="0" applyBorder="1"/>
    <xf numFmtId="0" fontId="0" fillId="0" borderId="142" xfId="0" applyBorder="1"/>
    <xf numFmtId="0" fontId="0" fillId="0" borderId="149" xfId="0" applyBorder="1"/>
    <xf numFmtId="0" fontId="0" fillId="0" borderId="150" xfId="0" applyBorder="1"/>
    <xf numFmtId="0" fontId="0" fillId="0" borderId="152" xfId="0" applyBorder="1"/>
    <xf numFmtId="0" fontId="16" fillId="0" borderId="117" xfId="0" applyFont="1" applyBorder="1"/>
    <xf numFmtId="0" fontId="52" fillId="0" borderId="153" xfId="0" applyFont="1" applyBorder="1"/>
    <xf numFmtId="0" fontId="16" fillId="46" borderId="154" xfId="0" applyFont="1" applyFill="1" applyBorder="1"/>
    <xf numFmtId="165" fontId="16" fillId="46" borderId="154" xfId="0" applyNumberFormat="1" applyFont="1" applyFill="1" applyBorder="1"/>
    <xf numFmtId="165" fontId="0" fillId="46" borderId="154" xfId="0" applyNumberFormat="1" applyFill="1" applyBorder="1"/>
    <xf numFmtId="0" fontId="16" fillId="46" borderId="155" xfId="0" applyFont="1" applyFill="1" applyBorder="1"/>
    <xf numFmtId="165" fontId="16" fillId="0" borderId="156" xfId="0" applyNumberFormat="1" applyFont="1" applyBorder="1"/>
    <xf numFmtId="0" fontId="16" fillId="30" borderId="6" xfId="0" applyFont="1" applyFill="1" applyBorder="1"/>
    <xf numFmtId="165" fontId="16" fillId="30" borderId="6" xfId="0" applyNumberFormat="1" applyFont="1" applyFill="1" applyBorder="1"/>
    <xf numFmtId="165" fontId="0" fillId="30" borderId="6" xfId="0" applyNumberFormat="1" applyFill="1" applyBorder="1"/>
    <xf numFmtId="0" fontId="16" fillId="30" borderId="7" xfId="0" applyFont="1" applyFill="1" applyBorder="1"/>
    <xf numFmtId="0" fontId="16" fillId="30" borderId="154" xfId="0" applyFont="1" applyFill="1" applyBorder="1"/>
    <xf numFmtId="165" fontId="16" fillId="30" borderId="154" xfId="0" applyNumberFormat="1" applyFont="1" applyFill="1" applyBorder="1"/>
    <xf numFmtId="165" fontId="0" fillId="30" borderId="154" xfId="0" applyNumberFormat="1" applyFill="1" applyBorder="1"/>
    <xf numFmtId="0" fontId="16" fillId="30" borderId="155" xfId="0" applyFont="1" applyFill="1" applyBorder="1"/>
    <xf numFmtId="165" fontId="16" fillId="26" borderId="6" xfId="0" applyNumberFormat="1" applyFont="1" applyFill="1" applyBorder="1"/>
    <xf numFmtId="165" fontId="0" fillId="26" borderId="6" xfId="0" applyNumberFormat="1" applyFill="1" applyBorder="1"/>
    <xf numFmtId="0" fontId="16" fillId="26" borderId="7" xfId="0" applyFont="1" applyFill="1" applyBorder="1"/>
    <xf numFmtId="0" fontId="16" fillId="26" borderId="10" xfId="0" applyFont="1" applyFill="1" applyBorder="1"/>
    <xf numFmtId="165" fontId="16" fillId="26" borderId="10" xfId="0" applyNumberFormat="1" applyFont="1" applyFill="1" applyBorder="1"/>
    <xf numFmtId="165" fontId="0" fillId="26" borderId="10" xfId="0" applyNumberFormat="1" applyFill="1" applyBorder="1"/>
    <xf numFmtId="0" fontId="16" fillId="26" borderId="11" xfId="0" applyFont="1" applyFill="1" applyBorder="1"/>
    <xf numFmtId="0" fontId="16" fillId="26" borderId="154" xfId="0" applyFont="1" applyFill="1" applyBorder="1"/>
    <xf numFmtId="165" fontId="16" fillId="26" borderId="154" xfId="0" applyNumberFormat="1" applyFont="1" applyFill="1" applyBorder="1"/>
    <xf numFmtId="0" fontId="16" fillId="26" borderId="155" xfId="0" applyFont="1" applyFill="1" applyBorder="1"/>
    <xf numFmtId="0" fontId="16" fillId="26" borderId="118" xfId="0" applyFont="1" applyFill="1" applyBorder="1"/>
    <xf numFmtId="165" fontId="16" fillId="26" borderId="118" xfId="0" applyNumberFormat="1" applyFont="1" applyFill="1" applyBorder="1"/>
    <xf numFmtId="165" fontId="0" fillId="26" borderId="118" xfId="0" applyNumberFormat="1" applyFill="1" applyBorder="1"/>
    <xf numFmtId="165" fontId="16" fillId="0" borderId="157" xfId="0" applyNumberFormat="1" applyFont="1" applyBorder="1"/>
    <xf numFmtId="0" fontId="16" fillId="26" borderId="151" xfId="0" applyFont="1" applyFill="1" applyBorder="1"/>
    <xf numFmtId="0" fontId="71" fillId="0" borderId="146" xfId="0" applyFont="1" applyBorder="1"/>
    <xf numFmtId="0" fontId="52" fillId="0" borderId="146" xfId="0" applyFont="1" applyBorder="1"/>
    <xf numFmtId="0" fontId="52" fillId="0" borderId="158" xfId="0" applyFont="1" applyBorder="1"/>
    <xf numFmtId="0" fontId="0" fillId="0" borderId="159" xfId="0" applyBorder="1"/>
    <xf numFmtId="0" fontId="16" fillId="26" borderId="141" xfId="0" applyFont="1" applyFill="1" applyBorder="1"/>
    <xf numFmtId="0" fontId="55" fillId="0" borderId="162" xfId="0" applyFont="1" applyBorder="1"/>
    <xf numFmtId="0" fontId="16" fillId="26" borderId="163" xfId="0" applyFont="1" applyFill="1" applyBorder="1"/>
    <xf numFmtId="0" fontId="16" fillId="26" borderId="164" xfId="0" applyFont="1" applyFill="1" applyBorder="1"/>
    <xf numFmtId="0" fontId="16" fillId="26" borderId="165" xfId="0" applyFont="1" applyFill="1" applyBorder="1"/>
    <xf numFmtId="0" fontId="16" fillId="30" borderId="163" xfId="0" applyFont="1" applyFill="1" applyBorder="1"/>
    <xf numFmtId="0" fontId="16" fillId="30" borderId="165" xfId="0" applyFont="1" applyFill="1" applyBorder="1"/>
    <xf numFmtId="0" fontId="16" fillId="46" borderId="163" xfId="0" applyFont="1" applyFill="1" applyBorder="1"/>
    <xf numFmtId="0" fontId="16" fillId="46" borderId="165" xfId="0" applyFont="1" applyFill="1" applyBorder="1"/>
    <xf numFmtId="0" fontId="43" fillId="0" borderId="120" xfId="0" applyFont="1" applyBorder="1"/>
    <xf numFmtId="0" fontId="43" fillId="0" borderId="146" xfId="0" applyFont="1" applyBorder="1"/>
    <xf numFmtId="0" fontId="43" fillId="0" borderId="147" xfId="0" applyFont="1" applyBorder="1"/>
    <xf numFmtId="0" fontId="43" fillId="0" borderId="148" xfId="0" applyFont="1" applyBorder="1"/>
    <xf numFmtId="0" fontId="43" fillId="0" borderId="131" xfId="0" applyFont="1" applyBorder="1"/>
    <xf numFmtId="0" fontId="43" fillId="0" borderId="133" xfId="0" applyFont="1" applyBorder="1"/>
    <xf numFmtId="0" fontId="43" fillId="0" borderId="138" xfId="0" applyFont="1" applyBorder="1"/>
    <xf numFmtId="0" fontId="43" fillId="0" borderId="123" xfId="0" applyFont="1" applyBorder="1"/>
    <xf numFmtId="0" fontId="43" fillId="0" borderId="161" xfId="0" applyFont="1" applyBorder="1"/>
    <xf numFmtId="0" fontId="43" fillId="0" borderId="117" xfId="0" applyFont="1" applyBorder="1"/>
    <xf numFmtId="0" fontId="43" fillId="0" borderId="160" xfId="0" applyFont="1" applyBorder="1"/>
    <xf numFmtId="0" fontId="43" fillId="0" borderId="140" xfId="0" applyFont="1" applyBorder="1"/>
    <xf numFmtId="165" fontId="16" fillId="26" borderId="15" xfId="0" applyNumberFormat="1" applyFont="1" applyFill="1" applyBorder="1"/>
    <xf numFmtId="165" fontId="0" fillId="26" borderId="15" xfId="0" applyNumberFormat="1" applyFill="1" applyBorder="1"/>
    <xf numFmtId="0" fontId="52" fillId="0" borderId="83" xfId="0" applyFont="1" applyBorder="1"/>
    <xf numFmtId="0" fontId="71" fillId="0" borderId="83" xfId="0" applyFont="1" applyBorder="1"/>
    <xf numFmtId="14" fontId="0" fillId="0" borderId="0" xfId="0" applyNumberFormat="1"/>
    <xf numFmtId="165" fontId="75" fillId="0" borderId="2" xfId="0" applyNumberFormat="1" applyFont="1" applyBorder="1"/>
    <xf numFmtId="165" fontId="75" fillId="8" borderId="13" xfId="0" applyNumberFormat="1" applyFont="1" applyFill="1" applyBorder="1"/>
    <xf numFmtId="0" fontId="0" fillId="56" borderId="0" xfId="0" applyFill="1"/>
    <xf numFmtId="166" fontId="75" fillId="0" borderId="0" xfId="0" applyNumberFormat="1" applyFont="1"/>
    <xf numFmtId="0" fontId="75" fillId="0" borderId="52" xfId="0" applyFont="1" applyBorder="1"/>
    <xf numFmtId="0" fontId="75" fillId="0" borderId="54" xfId="0" applyFont="1" applyBorder="1" applyAlignment="1">
      <alignment wrapText="1"/>
    </xf>
    <xf numFmtId="166" fontId="75" fillId="0" borderId="43" xfId="0" applyNumberFormat="1" applyFont="1" applyBorder="1"/>
    <xf numFmtId="166" fontId="75" fillId="0" borderId="14" xfId="0" applyNumberFormat="1" applyFont="1" applyBorder="1"/>
    <xf numFmtId="166" fontId="75" fillId="0" borderId="68" xfId="0" applyNumberFormat="1" applyFont="1" applyBorder="1"/>
    <xf numFmtId="0" fontId="17" fillId="57" borderId="43" xfId="0" applyFont="1" applyFill="1" applyBorder="1"/>
    <xf numFmtId="0" fontId="17" fillId="57" borderId="2" xfId="0" applyFont="1" applyFill="1" applyBorder="1"/>
    <xf numFmtId="8" fontId="17" fillId="57" borderId="2" xfId="0" applyNumberFormat="1" applyFont="1" applyFill="1" applyBorder="1"/>
    <xf numFmtId="0" fontId="17" fillId="57" borderId="4" xfId="0" applyFont="1" applyFill="1" applyBorder="1"/>
    <xf numFmtId="0" fontId="17" fillId="57" borderId="55" xfId="0" applyFont="1" applyFill="1" applyBorder="1"/>
    <xf numFmtId="0" fontId="17" fillId="57" borderId="9" xfId="0" applyFont="1" applyFill="1" applyBorder="1"/>
    <xf numFmtId="8" fontId="17" fillId="57" borderId="9" xfId="0" applyNumberFormat="1" applyFont="1" applyFill="1" applyBorder="1"/>
    <xf numFmtId="0" fontId="17" fillId="57" borderId="88" xfId="0" applyFont="1" applyFill="1" applyBorder="1"/>
    <xf numFmtId="8" fontId="0" fillId="0" borderId="13" xfId="0" applyNumberFormat="1" applyBorder="1"/>
    <xf numFmtId="8" fontId="0" fillId="0" borderId="9" xfId="0" applyNumberFormat="1" applyBorder="1"/>
    <xf numFmtId="0" fontId="0" fillId="57" borderId="43" xfId="0" applyFill="1" applyBorder="1"/>
    <xf numFmtId="8" fontId="0" fillId="57" borderId="13" xfId="0" applyNumberFormat="1" applyFill="1" applyBorder="1"/>
    <xf numFmtId="8" fontId="0" fillId="57" borderId="2" xfId="0" applyNumberFormat="1" applyFill="1" applyBorder="1"/>
    <xf numFmtId="0" fontId="0" fillId="57" borderId="2" xfId="0" applyFill="1" applyBorder="1"/>
    <xf numFmtId="0" fontId="0" fillId="57" borderId="55" xfId="0" applyFill="1" applyBorder="1"/>
    <xf numFmtId="8" fontId="0" fillId="57" borderId="9" xfId="0" applyNumberFormat="1" applyFill="1" applyBorder="1"/>
    <xf numFmtId="8" fontId="0" fillId="0" borderId="3" xfId="0" applyNumberFormat="1" applyBorder="1"/>
    <xf numFmtId="8" fontId="0" fillId="0" borderId="37" xfId="0" applyNumberFormat="1" applyBorder="1"/>
    <xf numFmtId="0" fontId="0" fillId="57" borderId="9" xfId="0" applyFill="1" applyBorder="1"/>
    <xf numFmtId="0" fontId="0" fillId="30" borderId="50" xfId="0" applyFill="1" applyBorder="1"/>
    <xf numFmtId="8" fontId="0" fillId="0" borderId="44" xfId="0" applyNumberFormat="1" applyBorder="1"/>
    <xf numFmtId="0" fontId="0" fillId="49" borderId="43" xfId="0" applyFill="1" applyBorder="1"/>
    <xf numFmtId="8" fontId="0" fillId="0" borderId="68" xfId="0" applyNumberFormat="1" applyBorder="1"/>
    <xf numFmtId="8" fontId="0" fillId="25" borderId="22" xfId="0" applyNumberFormat="1" applyFill="1" applyBorder="1"/>
    <xf numFmtId="165" fontId="17" fillId="57" borderId="2" xfId="0" applyNumberFormat="1" applyFont="1" applyFill="1" applyBorder="1"/>
    <xf numFmtId="165" fontId="17" fillId="57" borderId="9" xfId="0" applyNumberFormat="1" applyFont="1" applyFill="1" applyBorder="1"/>
    <xf numFmtId="165" fontId="0" fillId="0" borderId="9" xfId="0" applyNumberFormat="1" applyBorder="1"/>
    <xf numFmtId="165" fontId="0" fillId="0" borderId="68" xfId="0" applyNumberFormat="1" applyBorder="1"/>
    <xf numFmtId="165" fontId="0" fillId="0" borderId="3" xfId="0" applyNumberFormat="1" applyBorder="1"/>
    <xf numFmtId="0" fontId="0" fillId="14" borderId="50" xfId="0" applyFill="1" applyBorder="1"/>
    <xf numFmtId="165" fontId="0" fillId="57" borderId="13" xfId="0" applyNumberFormat="1" applyFill="1" applyBorder="1"/>
    <xf numFmtId="165" fontId="0" fillId="57" borderId="2" xfId="0" applyNumberFormat="1" applyFill="1" applyBorder="1"/>
    <xf numFmtId="165" fontId="0" fillId="57" borderId="14" xfId="0" applyNumberFormat="1" applyFill="1" applyBorder="1"/>
    <xf numFmtId="0" fontId="0" fillId="57" borderId="13" xfId="0" applyFill="1" applyBorder="1"/>
    <xf numFmtId="0" fontId="0" fillId="57" borderId="14" xfId="0" applyFill="1" applyBorder="1"/>
    <xf numFmtId="165" fontId="0" fillId="57" borderId="99" xfId="0" applyNumberFormat="1" applyFill="1" applyBorder="1"/>
    <xf numFmtId="165" fontId="0" fillId="57" borderId="9" xfId="0" applyNumberFormat="1" applyFill="1" applyBorder="1"/>
    <xf numFmtId="165" fontId="0" fillId="57" borderId="68" xfId="0" applyNumberFormat="1" applyFill="1" applyBorder="1"/>
    <xf numFmtId="165" fontId="0" fillId="26" borderId="50" xfId="0" applyNumberFormat="1" applyFill="1" applyBorder="1"/>
    <xf numFmtId="165" fontId="0" fillId="26" borderId="3" xfId="0" applyNumberFormat="1" applyFill="1" applyBorder="1"/>
    <xf numFmtId="8" fontId="0" fillId="26" borderId="3" xfId="0" applyNumberFormat="1" applyFill="1" applyBorder="1"/>
    <xf numFmtId="0" fontId="0" fillId="26" borderId="44" xfId="0" applyFill="1" applyBorder="1"/>
    <xf numFmtId="0" fontId="16" fillId="26" borderId="50" xfId="0" applyFont="1" applyFill="1" applyBorder="1"/>
    <xf numFmtId="0" fontId="16" fillId="26" borderId="3" xfId="0" applyFont="1" applyFill="1" applyBorder="1"/>
    <xf numFmtId="165" fontId="16" fillId="26" borderId="3" xfId="0" applyNumberFormat="1" applyFont="1" applyFill="1" applyBorder="1"/>
    <xf numFmtId="0" fontId="16" fillId="26" borderId="5" xfId="0" applyFont="1" applyFill="1" applyBorder="1"/>
    <xf numFmtId="165" fontId="16" fillId="0" borderId="97" xfId="0" applyNumberFormat="1" applyFont="1" applyBorder="1"/>
    <xf numFmtId="0" fontId="16" fillId="57" borderId="9" xfId="0" applyFont="1" applyFill="1" applyBorder="1"/>
    <xf numFmtId="165" fontId="16" fillId="57" borderId="9" xfId="0" applyNumberFormat="1" applyFont="1" applyFill="1" applyBorder="1"/>
    <xf numFmtId="165" fontId="16" fillId="0" borderId="68" xfId="0" applyNumberFormat="1" applyFont="1" applyBorder="1"/>
    <xf numFmtId="165" fontId="75" fillId="25" borderId="22" xfId="0" applyNumberFormat="1" applyFont="1" applyFill="1" applyBorder="1"/>
    <xf numFmtId="0" fontId="75" fillId="25" borderId="31" xfId="0" applyFont="1" applyFill="1" applyBorder="1"/>
    <xf numFmtId="165" fontId="75" fillId="25" borderId="32" xfId="0" applyNumberFormat="1" applyFont="1" applyFill="1" applyBorder="1"/>
    <xf numFmtId="0" fontId="58" fillId="0" borderId="109" xfId="0" applyFont="1" applyBorder="1"/>
    <xf numFmtId="0" fontId="58" fillId="0" borderId="57" xfId="0" applyFont="1" applyBorder="1"/>
    <xf numFmtId="0" fontId="58" fillId="0" borderId="58" xfId="0" applyFont="1" applyBorder="1"/>
    <xf numFmtId="0" fontId="58" fillId="46" borderId="59" xfId="0" applyFont="1" applyFill="1" applyBorder="1"/>
    <xf numFmtId="0" fontId="58" fillId="30" borderId="59" xfId="0" applyFont="1" applyFill="1" applyBorder="1"/>
    <xf numFmtId="0" fontId="58" fillId="14" borderId="59" xfId="0" applyFont="1" applyFill="1" applyBorder="1"/>
    <xf numFmtId="0" fontId="58" fillId="9" borderId="110" xfId="0" applyFont="1" applyFill="1" applyBorder="1"/>
    <xf numFmtId="0" fontId="58" fillId="49" borderId="59" xfId="0" applyFont="1" applyFill="1" applyBorder="1"/>
    <xf numFmtId="0" fontId="58" fillId="51" borderId="59" xfId="0" applyFont="1" applyFill="1" applyBorder="1"/>
    <xf numFmtId="0" fontId="58" fillId="58" borderId="61" xfId="0" applyFont="1" applyFill="1" applyBorder="1"/>
    <xf numFmtId="0" fontId="0" fillId="25" borderId="23" xfId="0" applyFill="1" applyBorder="1"/>
    <xf numFmtId="165" fontId="0" fillId="25" borderId="32" xfId="0" applyNumberFormat="1" applyFill="1" applyBorder="1"/>
    <xf numFmtId="0" fontId="0" fillId="57" borderId="68" xfId="0" applyFill="1" applyBorder="1"/>
    <xf numFmtId="0" fontId="38" fillId="0" borderId="18" xfId="0" applyFont="1" applyBorder="1" applyAlignment="1">
      <alignment horizontal="center"/>
    </xf>
    <xf numFmtId="0" fontId="63" fillId="0" borderId="31" xfId="0" applyFont="1" applyBorder="1" applyAlignment="1">
      <alignment horizontal="center"/>
    </xf>
    <xf numFmtId="0" fontId="63" fillId="0" borderId="23" xfId="0" applyFont="1" applyBorder="1" applyAlignment="1">
      <alignment horizontal="center"/>
    </xf>
    <xf numFmtId="0" fontId="63" fillId="0" borderId="32" xfId="0" applyFont="1" applyBorder="1" applyAlignment="1">
      <alignment horizontal="center"/>
    </xf>
    <xf numFmtId="0" fontId="0" fillId="53" borderId="24" xfId="0" applyFill="1" applyBorder="1"/>
    <xf numFmtId="0" fontId="0" fillId="53" borderId="35" xfId="0" applyFill="1" applyBorder="1"/>
    <xf numFmtId="0" fontId="0" fillId="53" borderId="63" xfId="0" applyFill="1" applyBorder="1"/>
    <xf numFmtId="165" fontId="0" fillId="53" borderId="39" xfId="0" applyNumberFormat="1" applyFill="1" applyBorder="1" applyAlignment="1">
      <alignment horizontal="right"/>
    </xf>
    <xf numFmtId="1" fontId="0" fillId="53" borderId="39" xfId="0" applyNumberFormat="1" applyFill="1" applyBorder="1" applyAlignment="1">
      <alignment horizontal="center"/>
    </xf>
    <xf numFmtId="0" fontId="0" fillId="53" borderId="40" xfId="0" applyFill="1" applyBorder="1"/>
    <xf numFmtId="166" fontId="0" fillId="8" borderId="17" xfId="0" applyNumberFormat="1" applyFill="1" applyBorder="1"/>
    <xf numFmtId="0" fontId="0" fillId="53" borderId="166" xfId="0" applyFill="1" applyBorder="1"/>
    <xf numFmtId="0" fontId="0" fillId="53" borderId="3" xfId="0" applyFill="1" applyBorder="1"/>
    <xf numFmtId="166" fontId="0" fillId="53" borderId="3" xfId="0" applyNumberFormat="1" applyFill="1" applyBorder="1"/>
    <xf numFmtId="1" fontId="0" fillId="52" borderId="4" xfId="0" applyNumberFormat="1" applyFill="1" applyBorder="1" applyAlignment="1">
      <alignment horizontal="center"/>
    </xf>
    <xf numFmtId="1" fontId="0" fillId="52" borderId="11" xfId="0" applyNumberFormat="1" applyFill="1" applyBorder="1" applyAlignment="1">
      <alignment horizontal="center"/>
    </xf>
    <xf numFmtId="44" fontId="0" fillId="57" borderId="2" xfId="0" applyNumberFormat="1" applyFill="1" applyBorder="1"/>
    <xf numFmtId="0" fontId="0" fillId="57" borderId="36" xfId="0" applyFill="1" applyBorder="1"/>
    <xf numFmtId="0" fontId="0" fillId="53" borderId="22" xfId="0" applyFill="1" applyBorder="1"/>
    <xf numFmtId="0" fontId="0" fillId="26" borderId="97" xfId="0" applyFill="1" applyBorder="1"/>
    <xf numFmtId="44" fontId="0" fillId="53" borderId="37" xfId="0" applyNumberFormat="1" applyFill="1" applyBorder="1"/>
    <xf numFmtId="166" fontId="0" fillId="53" borderId="37" xfId="0" applyNumberFormat="1" applyFill="1" applyBorder="1"/>
    <xf numFmtId="166" fontId="0" fillId="53" borderId="67" xfId="0" applyNumberFormat="1" applyFill="1" applyBorder="1"/>
    <xf numFmtId="0" fontId="0" fillId="57" borderId="99" xfId="0" applyFill="1" applyBorder="1"/>
    <xf numFmtId="0" fontId="0" fillId="57" borderId="85" xfId="0" applyFill="1" applyBorder="1"/>
    <xf numFmtId="0" fontId="0" fillId="57" borderId="87" xfId="0" applyFill="1" applyBorder="1"/>
    <xf numFmtId="0" fontId="0" fillId="57" borderId="3" xfId="0" applyFill="1" applyBorder="1"/>
    <xf numFmtId="0" fontId="0" fillId="57" borderId="97" xfId="0" applyFill="1" applyBorder="1"/>
    <xf numFmtId="0" fontId="0" fillId="57" borderId="37" xfId="0" applyFill="1" applyBorder="1"/>
    <xf numFmtId="44" fontId="0" fillId="57" borderId="3" xfId="0" applyNumberFormat="1" applyFill="1" applyBorder="1"/>
    <xf numFmtId="165" fontId="0" fillId="57" borderId="3" xfId="0" applyNumberFormat="1" applyFill="1" applyBorder="1"/>
    <xf numFmtId="0" fontId="0" fillId="57" borderId="4" xfId="0" applyFill="1" applyBorder="1"/>
    <xf numFmtId="0" fontId="0" fillId="57" borderId="88" xfId="0" applyFill="1" applyBorder="1"/>
    <xf numFmtId="0" fontId="17" fillId="57" borderId="50" xfId="0" applyFont="1" applyFill="1" applyBorder="1"/>
    <xf numFmtId="0" fontId="17" fillId="57" borderId="3" xfId="0" applyFont="1" applyFill="1" applyBorder="1"/>
    <xf numFmtId="8" fontId="17" fillId="57" borderId="3" xfId="0" applyNumberFormat="1" applyFont="1" applyFill="1" applyBorder="1"/>
    <xf numFmtId="0" fontId="17" fillId="57" borderId="5" xfId="0" applyFont="1" applyFill="1" applyBorder="1"/>
    <xf numFmtId="8" fontId="17" fillId="0" borderId="97" xfId="0" applyNumberFormat="1" applyFont="1" applyBorder="1"/>
    <xf numFmtId="8" fontId="0" fillId="0" borderId="22" xfId="0" applyNumberFormat="1" applyBorder="1"/>
    <xf numFmtId="0" fontId="0" fillId="57" borderId="50" xfId="0" applyFill="1" applyBorder="1"/>
    <xf numFmtId="8" fontId="0" fillId="57" borderId="37" xfId="0" applyNumberFormat="1" applyFill="1" applyBorder="1"/>
    <xf numFmtId="8" fontId="0" fillId="57" borderId="3" xfId="0" applyNumberFormat="1" applyFill="1" applyBorder="1"/>
    <xf numFmtId="8" fontId="0" fillId="46" borderId="14" xfId="0" applyNumberFormat="1" applyFill="1" applyBorder="1"/>
    <xf numFmtId="8" fontId="0" fillId="9" borderId="14" xfId="0" applyNumberFormat="1" applyFill="1" applyBorder="1"/>
    <xf numFmtId="8" fontId="0" fillId="57" borderId="14" xfId="0" applyNumberFormat="1" applyFill="1" applyBorder="1"/>
    <xf numFmtId="8" fontId="0" fillId="57" borderId="44" xfId="0" applyNumberFormat="1" applyFill="1" applyBorder="1"/>
    <xf numFmtId="0" fontId="78" fillId="0" borderId="18" xfId="0" applyFont="1" applyBorder="1"/>
    <xf numFmtId="0" fontId="77" fillId="0" borderId="19" xfId="0" applyFont="1" applyBorder="1"/>
    <xf numFmtId="0" fontId="0" fillId="50" borderId="26" xfId="0" applyFill="1" applyBorder="1"/>
    <xf numFmtId="0" fontId="0" fillId="50" borderId="33" xfId="0" applyFill="1" applyBorder="1"/>
    <xf numFmtId="0" fontId="0" fillId="50" borderId="35" xfId="0" applyFill="1" applyBorder="1"/>
    <xf numFmtId="0" fontId="0" fillId="50" borderId="22" xfId="0" applyFill="1" applyBorder="1"/>
    <xf numFmtId="0" fontId="35" fillId="0" borderId="23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35" fillId="0" borderId="38" xfId="0" applyFont="1" applyBorder="1" applyAlignment="1">
      <alignment horizontal="center"/>
    </xf>
    <xf numFmtId="0" fontId="36" fillId="0" borderId="39" xfId="0" applyFont="1" applyBorder="1"/>
    <xf numFmtId="0" fontId="36" fillId="0" borderId="40" xfId="0" applyFont="1" applyBorder="1"/>
    <xf numFmtId="0" fontId="4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8" fillId="46" borderId="143" xfId="0" applyFont="1" applyFill="1" applyBorder="1" applyAlignment="1">
      <alignment horizontal="center"/>
    </xf>
    <xf numFmtId="0" fontId="58" fillId="46" borderId="144" xfId="0" applyFont="1" applyFill="1" applyBorder="1" applyAlignment="1">
      <alignment horizontal="center"/>
    </xf>
    <xf numFmtId="0" fontId="58" fillId="46" borderId="145" xfId="0" applyFont="1" applyFill="1" applyBorder="1" applyAlignment="1">
      <alignment horizontal="center"/>
    </xf>
    <xf numFmtId="0" fontId="58" fillId="30" borderId="140" xfId="0" applyFont="1" applyFill="1" applyBorder="1" applyAlignment="1">
      <alignment horizontal="center"/>
    </xf>
    <xf numFmtId="0" fontId="58" fillId="30" borderId="114" xfId="0" applyFont="1" applyFill="1" applyBorder="1" applyAlignment="1">
      <alignment horizontal="center"/>
    </xf>
    <xf numFmtId="0" fontId="58" fillId="30" borderId="139" xfId="0" applyFont="1" applyFill="1" applyBorder="1" applyAlignment="1">
      <alignment horizontal="center"/>
    </xf>
    <xf numFmtId="0" fontId="58" fillId="26" borderId="143" xfId="0" applyFont="1" applyFill="1" applyBorder="1" applyAlignment="1">
      <alignment horizontal="center"/>
    </xf>
    <xf numFmtId="0" fontId="58" fillId="26" borderId="144" xfId="0" applyFont="1" applyFill="1" applyBorder="1" applyAlignment="1">
      <alignment horizontal="center"/>
    </xf>
    <xf numFmtId="0" fontId="58" fillId="26" borderId="145" xfId="0" applyFont="1" applyFill="1" applyBorder="1" applyAlignment="1">
      <alignment horizontal="center"/>
    </xf>
    <xf numFmtId="0" fontId="56" fillId="14" borderId="35" xfId="0" applyFont="1" applyFill="1" applyBorder="1" applyAlignment="1">
      <alignment horizontal="center"/>
    </xf>
    <xf numFmtId="0" fontId="69" fillId="0" borderId="31" xfId="0" applyFont="1" applyBorder="1" applyAlignment="1">
      <alignment horizontal="center"/>
    </xf>
    <xf numFmtId="0" fontId="69" fillId="0" borderId="23" xfId="0" applyFont="1" applyBorder="1" applyAlignment="1">
      <alignment horizontal="center"/>
    </xf>
    <xf numFmtId="0" fontId="69" fillId="0" borderId="19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69" fillId="0" borderId="29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6" fillId="0" borderId="31" xfId="0" applyFont="1" applyBorder="1" applyAlignment="1">
      <alignment horizontal="center"/>
    </xf>
    <xf numFmtId="0" fontId="76" fillId="0" borderId="32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81FA16"/>
      <color rgb="FF67B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U244"/>
  <sheetViews>
    <sheetView topLeftCell="A15" workbookViewId="0">
      <selection activeCell="O20" sqref="O20"/>
    </sheetView>
  </sheetViews>
  <sheetFormatPr defaultRowHeight="15" x14ac:dyDescent="0.25"/>
  <cols>
    <col min="2" max="2" width="7.140625" bestFit="1" customWidth="1"/>
    <col min="3" max="3" width="30.5703125" bestFit="1" customWidth="1"/>
    <col min="7" max="7" width="23.140625" bestFit="1" customWidth="1"/>
    <col min="8" max="8" width="17.42578125" bestFit="1" customWidth="1"/>
    <col min="11" max="11" width="17.5703125" bestFit="1" customWidth="1"/>
  </cols>
  <sheetData>
    <row r="1" spans="2:11" x14ac:dyDescent="0.25">
      <c r="C1" s="1524" t="s">
        <v>0</v>
      </c>
      <c r="D1" s="1524"/>
      <c r="E1" s="1524"/>
      <c r="F1" s="1524"/>
      <c r="G1" s="1524"/>
      <c r="H1" s="1524"/>
      <c r="I1" s="1524"/>
    </row>
    <row r="2" spans="2:11" x14ac:dyDescent="0.25">
      <c r="B2" s="1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4" t="s">
        <v>7</v>
      </c>
      <c r="I2" s="2" t="s">
        <v>8</v>
      </c>
      <c r="J2" s="2" t="s">
        <v>9</v>
      </c>
      <c r="K2" s="5" t="s">
        <v>10</v>
      </c>
    </row>
    <row r="3" spans="2:11" x14ac:dyDescent="0.25">
      <c r="B3" s="976"/>
      <c r="C3" s="869"/>
      <c r="D3" s="869"/>
      <c r="E3" s="977"/>
      <c r="F3" s="869"/>
      <c r="G3" s="869"/>
      <c r="H3" s="978"/>
      <c r="I3" s="891"/>
      <c r="J3" s="979"/>
      <c r="K3" s="869"/>
    </row>
    <row r="4" spans="2:11" ht="60" x14ac:dyDescent="0.25">
      <c r="B4" s="13">
        <v>46097</v>
      </c>
      <c r="C4" s="856" t="s">
        <v>11</v>
      </c>
      <c r="D4" s="857">
        <v>5</v>
      </c>
      <c r="E4" s="857">
        <v>1.7</v>
      </c>
      <c r="F4" s="857">
        <v>29</v>
      </c>
      <c r="G4" s="857" t="s">
        <v>12</v>
      </c>
      <c r="H4" s="39"/>
      <c r="I4" s="19"/>
      <c r="J4" s="101"/>
      <c r="K4" s="1080" t="s">
        <v>13</v>
      </c>
    </row>
    <row r="5" spans="2:11" x14ac:dyDescent="0.25">
      <c r="B5" s="13"/>
      <c r="C5" s="57" t="s">
        <v>14</v>
      </c>
      <c r="D5" s="59">
        <f>'Fwy &amp; Tee Quantities '!C35</f>
        <v>6</v>
      </c>
      <c r="E5" s="857">
        <v>1.7</v>
      </c>
      <c r="F5" s="857">
        <v>29</v>
      </c>
      <c r="G5" s="59" t="s">
        <v>15</v>
      </c>
      <c r="H5" s="39"/>
      <c r="I5" s="24"/>
      <c r="J5" s="101"/>
      <c r="K5" s="1055"/>
    </row>
    <row r="6" spans="2:11" x14ac:dyDescent="0.25">
      <c r="B6" s="6"/>
      <c r="C6" s="2"/>
      <c r="D6" s="861"/>
      <c r="E6" s="19"/>
      <c r="F6" s="19"/>
      <c r="G6" s="19"/>
      <c r="H6" s="39"/>
      <c r="I6" s="24"/>
      <c r="J6" s="19"/>
      <c r="K6" s="739"/>
    </row>
    <row r="7" spans="2:11" x14ac:dyDescent="0.25">
      <c r="B7" s="13">
        <v>46111</v>
      </c>
      <c r="C7" s="856" t="s">
        <v>11</v>
      </c>
      <c r="D7" s="857">
        <v>5</v>
      </c>
      <c r="E7" s="857">
        <v>1.7</v>
      </c>
      <c r="F7" s="857">
        <v>29</v>
      </c>
      <c r="G7" s="857" t="s">
        <v>12</v>
      </c>
      <c r="H7" s="39"/>
      <c r="I7" s="24"/>
      <c r="J7" s="19"/>
      <c r="K7" s="591"/>
    </row>
    <row r="8" spans="2:11" x14ac:dyDescent="0.25">
      <c r="B8" s="13"/>
      <c r="C8" s="57" t="s">
        <v>14</v>
      </c>
      <c r="D8" s="59">
        <f>'Fwy &amp; Tee Quantities '!C38</f>
        <v>9</v>
      </c>
      <c r="E8" s="857">
        <v>1.7</v>
      </c>
      <c r="F8" s="857">
        <v>29</v>
      </c>
      <c r="G8" s="59" t="s">
        <v>15</v>
      </c>
      <c r="H8" s="39"/>
      <c r="I8" s="24"/>
      <c r="J8" s="19"/>
      <c r="K8" s="591"/>
    </row>
    <row r="9" spans="2:11" x14ac:dyDescent="0.25">
      <c r="B9" s="974"/>
      <c r="C9" s="7"/>
      <c r="D9" s="8"/>
      <c r="E9" s="9"/>
      <c r="F9" s="9"/>
      <c r="G9" s="9"/>
      <c r="H9" s="10"/>
      <c r="I9" s="11"/>
      <c r="J9" s="9"/>
      <c r="K9" s="1057"/>
    </row>
    <row r="10" spans="2:11" ht="24" customHeight="1" x14ac:dyDescent="0.25">
      <c r="B10" s="13">
        <v>46121</v>
      </c>
      <c r="C10" s="14" t="s">
        <v>16</v>
      </c>
      <c r="D10" s="15">
        <f>'Fwy &amp; Tee Quantities '!C9</f>
        <v>8.5</v>
      </c>
      <c r="E10" s="16">
        <v>1.7</v>
      </c>
      <c r="F10" s="16">
        <v>29</v>
      </c>
      <c r="G10" s="16" t="s">
        <v>17</v>
      </c>
      <c r="H10" s="17" t="s">
        <v>18</v>
      </c>
      <c r="I10" s="18" t="s">
        <v>19</v>
      </c>
      <c r="J10">
        <v>3</v>
      </c>
      <c r="K10" s="1056" t="s">
        <v>20</v>
      </c>
    </row>
    <row r="11" spans="2:11" x14ac:dyDescent="0.25">
      <c r="B11" s="6"/>
      <c r="C11" s="7"/>
      <c r="D11" s="8"/>
      <c r="E11" s="9"/>
      <c r="F11" s="25"/>
      <c r="G11" s="9"/>
      <c r="H11" s="10"/>
      <c r="I11" s="9"/>
      <c r="J11" s="11"/>
      <c r="K11" s="12"/>
    </row>
    <row r="12" spans="2:11" x14ac:dyDescent="0.25">
      <c r="B12" s="13">
        <v>46128</v>
      </c>
      <c r="C12" s="14" t="s">
        <v>21</v>
      </c>
      <c r="D12" s="15">
        <f>'Fwy &amp; Tee Quantities '!C4</f>
        <v>0.5</v>
      </c>
      <c r="E12" s="16">
        <v>1.7</v>
      </c>
      <c r="F12" s="16">
        <v>29</v>
      </c>
      <c r="G12" s="16" t="s">
        <v>22</v>
      </c>
      <c r="H12" s="6"/>
      <c r="I12" s="19" t="s">
        <v>23</v>
      </c>
      <c r="J12" s="24">
        <v>29</v>
      </c>
      <c r="K12" s="12"/>
    </row>
    <row r="13" spans="2:11" x14ac:dyDescent="0.25">
      <c r="B13" s="6"/>
      <c r="C13" s="14" t="s">
        <v>24</v>
      </c>
      <c r="D13" s="15">
        <f>'Fwy &amp; Tee Quantities '!C5</f>
        <v>4</v>
      </c>
      <c r="E13" s="16">
        <v>1.7</v>
      </c>
      <c r="F13" s="16">
        <v>29</v>
      </c>
      <c r="G13" s="26" t="s">
        <v>25</v>
      </c>
      <c r="H13" s="6"/>
      <c r="I13" s="27" t="s">
        <v>26</v>
      </c>
      <c r="J13" s="24">
        <v>2</v>
      </c>
      <c r="K13" s="12"/>
    </row>
    <row r="14" spans="2:11" x14ac:dyDescent="0.25">
      <c r="B14" s="6"/>
      <c r="C14" s="20" t="s">
        <v>27</v>
      </c>
      <c r="D14" s="21">
        <v>6.5000000000000002E-2</v>
      </c>
      <c r="E14" s="22">
        <v>1.7</v>
      </c>
      <c r="F14" s="23">
        <v>29</v>
      </c>
      <c r="G14" s="22"/>
      <c r="H14" s="17"/>
      <c r="I14" s="22"/>
      <c r="J14" s="24"/>
      <c r="K14" s="12"/>
    </row>
    <row r="15" spans="2:11" x14ac:dyDescent="0.25">
      <c r="B15" s="6"/>
      <c r="C15" s="20" t="s">
        <v>28</v>
      </c>
      <c r="D15" s="21">
        <v>0.54</v>
      </c>
      <c r="E15" s="22">
        <v>1.7</v>
      </c>
      <c r="F15" s="23">
        <v>29</v>
      </c>
      <c r="G15" s="28"/>
      <c r="H15" s="29"/>
      <c r="I15" s="22"/>
      <c r="J15" s="24"/>
      <c r="K15" s="12"/>
    </row>
    <row r="16" spans="2:11" x14ac:dyDescent="0.25">
      <c r="B16" s="6"/>
      <c r="C16" s="20" t="s">
        <v>29</v>
      </c>
      <c r="D16" s="21">
        <v>1.8</v>
      </c>
      <c r="E16" s="22">
        <v>1.7</v>
      </c>
      <c r="F16" s="23">
        <v>29</v>
      </c>
      <c r="G16" s="22"/>
      <c r="H16" s="17"/>
      <c r="I16" s="22"/>
      <c r="J16" s="24"/>
      <c r="K16" s="12"/>
    </row>
    <row r="17" spans="2:21" x14ac:dyDescent="0.25">
      <c r="B17" s="6"/>
      <c r="C17" s="20" t="s">
        <v>30</v>
      </c>
      <c r="D17" s="21">
        <v>1.8</v>
      </c>
      <c r="E17" s="22">
        <v>1.7</v>
      </c>
      <c r="F17" s="23">
        <v>29</v>
      </c>
      <c r="G17" s="22"/>
      <c r="H17" s="17"/>
      <c r="I17" s="22"/>
      <c r="J17" s="24"/>
      <c r="K17" s="12"/>
    </row>
    <row r="18" spans="2:21" x14ac:dyDescent="0.25">
      <c r="B18" s="30"/>
      <c r="C18" s="20" t="s">
        <v>31</v>
      </c>
      <c r="D18" s="21">
        <v>0.73</v>
      </c>
      <c r="E18" s="22">
        <v>1.7</v>
      </c>
      <c r="F18" s="23">
        <v>29</v>
      </c>
      <c r="G18" s="22"/>
      <c r="H18" s="17"/>
      <c r="I18" s="22"/>
      <c r="J18" s="24"/>
      <c r="K18" s="12"/>
    </row>
    <row r="19" spans="2:21" x14ac:dyDescent="0.25">
      <c r="B19" s="39"/>
      <c r="C19" s="868"/>
      <c r="D19" s="863"/>
      <c r="E19" s="864"/>
      <c r="F19" s="865"/>
      <c r="G19" s="866"/>
      <c r="H19" s="867"/>
      <c r="I19" s="864"/>
      <c r="J19" s="866"/>
      <c r="K19" s="722"/>
    </row>
    <row r="20" spans="2:21" x14ac:dyDescent="0.25">
      <c r="B20" s="13">
        <v>46139</v>
      </c>
      <c r="C20" s="122" t="s">
        <v>32</v>
      </c>
      <c r="D20" s="74">
        <f>'Fwy &amp; Tee Quantities '!C27</f>
        <v>5.5</v>
      </c>
      <c r="E20" s="75">
        <v>1.7</v>
      </c>
      <c r="F20" s="76">
        <v>29</v>
      </c>
      <c r="G20" s="77"/>
      <c r="H20" s="78"/>
      <c r="I20" s="79"/>
      <c r="J20" s="80"/>
      <c r="K20" s="12"/>
    </row>
    <row r="21" spans="2:21" ht="24.75" x14ac:dyDescent="0.25">
      <c r="B21" s="73"/>
      <c r="C21" s="14" t="s">
        <v>16</v>
      </c>
      <c r="D21" s="16">
        <v>1.5</v>
      </c>
      <c r="E21" s="16">
        <v>1.7</v>
      </c>
      <c r="F21" s="16">
        <v>29</v>
      </c>
      <c r="G21" s="16" t="s">
        <v>17</v>
      </c>
      <c r="H21" s="78" t="s">
        <v>18</v>
      </c>
      <c r="I21" s="726" t="s">
        <v>19</v>
      </c>
      <c r="J21" s="80">
        <v>3</v>
      </c>
      <c r="K21" s="1082" t="s">
        <v>33</v>
      </c>
      <c r="U21" t="s">
        <v>34</v>
      </c>
    </row>
    <row r="22" spans="2:21" x14ac:dyDescent="0.25">
      <c r="B22" s="73"/>
      <c r="C22" s="81" t="s">
        <v>35</v>
      </c>
      <c r="D22" s="82">
        <f>'Fwy &amp; Tee Quantities '!C16</f>
        <v>0.32</v>
      </c>
      <c r="E22" s="83">
        <v>1.7</v>
      </c>
      <c r="F22" s="84">
        <v>29</v>
      </c>
      <c r="G22" s="85" t="s">
        <v>36</v>
      </c>
      <c r="H22" s="86"/>
      <c r="I22" s="19"/>
      <c r="J22" s="24"/>
      <c r="K22" s="12"/>
    </row>
    <row r="23" spans="2:21" x14ac:dyDescent="0.25">
      <c r="B23" s="41"/>
      <c r="C23" s="87" t="s">
        <v>37</v>
      </c>
      <c r="D23" s="88">
        <f>'Fwy &amp; Tee Quantities '!C8</f>
        <v>1.8</v>
      </c>
      <c r="E23" s="89">
        <v>1.7</v>
      </c>
      <c r="F23" s="90">
        <v>29</v>
      </c>
      <c r="G23" s="89" t="s">
        <v>38</v>
      </c>
      <c r="H23" s="91"/>
      <c r="I23" s="47"/>
      <c r="J23" s="1081"/>
      <c r="K23" s="12"/>
    </row>
    <row r="24" spans="2:21" x14ac:dyDescent="0.25">
      <c r="B24" s="30"/>
      <c r="C24" s="31"/>
      <c r="D24" s="32"/>
      <c r="E24" s="33"/>
      <c r="F24" s="34"/>
      <c r="G24" s="33"/>
      <c r="H24" s="35"/>
      <c r="I24" s="36"/>
      <c r="J24" s="9"/>
      <c r="K24" s="1057"/>
    </row>
    <row r="25" spans="2:21" x14ac:dyDescent="0.25">
      <c r="B25" s="41">
        <v>46142</v>
      </c>
      <c r="C25" s="42" t="s">
        <v>39</v>
      </c>
      <c r="D25" s="15">
        <v>1.8</v>
      </c>
      <c r="E25" s="16">
        <v>1.7</v>
      </c>
      <c r="F25" s="16">
        <v>29</v>
      </c>
      <c r="G25" s="16" t="s">
        <v>40</v>
      </c>
      <c r="H25" s="43"/>
      <c r="I25" s="119"/>
      <c r="J25" s="44"/>
      <c r="K25" s="40"/>
    </row>
    <row r="26" spans="2:21" x14ac:dyDescent="0.25">
      <c r="B26" s="45"/>
      <c r="C26" s="20" t="s">
        <v>27</v>
      </c>
      <c r="D26" s="21">
        <v>6.5000000000000002E-2</v>
      </c>
      <c r="E26" s="22">
        <v>1.7</v>
      </c>
      <c r="F26" s="23">
        <v>29</v>
      </c>
      <c r="G26" s="22"/>
      <c r="H26" s="46"/>
      <c r="I26" s="47"/>
      <c r="J26" s="44"/>
      <c r="K26" s="12"/>
    </row>
    <row r="27" spans="2:21" x14ac:dyDescent="0.25">
      <c r="B27" s="45"/>
      <c r="C27" s="20" t="s">
        <v>41</v>
      </c>
      <c r="D27" s="21">
        <v>0.54</v>
      </c>
      <c r="E27" s="22">
        <v>1.7</v>
      </c>
      <c r="F27" s="23">
        <v>29</v>
      </c>
      <c r="G27" s="28"/>
      <c r="H27" s="46"/>
      <c r="I27" s="47"/>
      <c r="J27" s="44"/>
      <c r="K27" s="48"/>
    </row>
    <row r="28" spans="2:21" x14ac:dyDescent="0.25">
      <c r="B28" s="45"/>
      <c r="C28" s="20" t="s">
        <v>29</v>
      </c>
      <c r="D28" s="21">
        <v>1.8</v>
      </c>
      <c r="E28" s="22">
        <v>1.7</v>
      </c>
      <c r="F28" s="23">
        <v>29</v>
      </c>
      <c r="G28" s="22"/>
      <c r="H28" s="46"/>
      <c r="I28" s="47"/>
      <c r="J28" s="44"/>
      <c r="K28" s="12"/>
    </row>
    <row r="29" spans="2:21" x14ac:dyDescent="0.25">
      <c r="B29" s="45"/>
      <c r="C29" s="20" t="s">
        <v>30</v>
      </c>
      <c r="D29" s="21">
        <v>1.8</v>
      </c>
      <c r="E29" s="22">
        <v>1.7</v>
      </c>
      <c r="F29" s="23">
        <v>29</v>
      </c>
      <c r="G29" s="22"/>
      <c r="H29" s="46"/>
      <c r="I29" s="47"/>
      <c r="J29" s="44"/>
      <c r="K29" s="12"/>
    </row>
    <row r="30" spans="2:21" x14ac:dyDescent="0.25">
      <c r="B30" s="45"/>
      <c r="C30" s="20" t="s">
        <v>31</v>
      </c>
      <c r="D30" s="21">
        <v>0.73</v>
      </c>
      <c r="E30" s="22">
        <v>1.7</v>
      </c>
      <c r="F30" s="23">
        <v>29</v>
      </c>
      <c r="G30" s="22"/>
      <c r="H30" s="46"/>
      <c r="I30" s="47"/>
      <c r="J30" s="44"/>
      <c r="K30" s="12"/>
    </row>
    <row r="31" spans="2:21" x14ac:dyDescent="0.25">
      <c r="B31" s="45"/>
      <c r="C31" s="49" t="s">
        <v>42</v>
      </c>
      <c r="D31" s="50">
        <v>1.8</v>
      </c>
      <c r="E31" s="51">
        <v>1.7</v>
      </c>
      <c r="F31" s="52">
        <v>29</v>
      </c>
      <c r="G31" s="53"/>
      <c r="H31" s="46"/>
      <c r="I31" s="47"/>
      <c r="J31" s="44"/>
      <c r="K31" s="12"/>
    </row>
    <row r="32" spans="2:21" x14ac:dyDescent="0.25">
      <c r="B32" s="45"/>
      <c r="C32" s="62" t="s">
        <v>43</v>
      </c>
      <c r="D32" s="63">
        <f>'Fwy &amp; Tee Quantities '!C31</f>
        <v>3.5</v>
      </c>
      <c r="E32" s="64">
        <v>1.7</v>
      </c>
      <c r="F32" s="65">
        <v>29</v>
      </c>
      <c r="G32" s="66" t="s">
        <v>44</v>
      </c>
      <c r="I32" s="47"/>
      <c r="J32" s="44"/>
      <c r="K32" s="12"/>
    </row>
    <row r="33" spans="2:11" x14ac:dyDescent="0.25">
      <c r="B33" s="721"/>
      <c r="C33" s="67"/>
      <c r="D33" s="68"/>
      <c r="E33" s="69"/>
      <c r="F33" s="70"/>
      <c r="G33" s="70"/>
      <c r="H33" s="71"/>
      <c r="I33" s="69"/>
      <c r="J33" s="72"/>
      <c r="K33" s="585"/>
    </row>
    <row r="34" spans="2:11" x14ac:dyDescent="0.25">
      <c r="B34" s="95">
        <v>46156</v>
      </c>
      <c r="C34" s="14" t="s">
        <v>45</v>
      </c>
      <c r="D34" s="15">
        <f>'Fwy &amp; Tee Quantities '!C6</f>
        <v>2</v>
      </c>
      <c r="E34" s="16">
        <v>1.7</v>
      </c>
      <c r="F34" s="16">
        <v>29</v>
      </c>
      <c r="G34" s="16" t="s">
        <v>46</v>
      </c>
      <c r="H34" s="17" t="s">
        <v>47</v>
      </c>
      <c r="I34" s="1058" t="s">
        <v>48</v>
      </c>
      <c r="J34" s="24" t="s">
        <v>49</v>
      </c>
      <c r="K34" s="12"/>
    </row>
    <row r="35" spans="2:11" x14ac:dyDescent="0.25">
      <c r="B35" s="13"/>
      <c r="C35" s="20" t="s">
        <v>27</v>
      </c>
      <c r="D35" s="21">
        <v>6.5000000000000002E-2</v>
      </c>
      <c r="E35" s="22">
        <v>1.7</v>
      </c>
      <c r="F35" s="23">
        <v>29</v>
      </c>
      <c r="G35" s="97"/>
      <c r="H35" s="29"/>
      <c r="I35" s="22"/>
      <c r="J35" s="24"/>
      <c r="K35" s="12"/>
    </row>
    <row r="36" spans="2:11" x14ac:dyDescent="0.25">
      <c r="B36" s="6"/>
      <c r="C36" s="20" t="s">
        <v>28</v>
      </c>
      <c r="D36" s="21">
        <v>0.54</v>
      </c>
      <c r="E36" s="22">
        <v>1.7</v>
      </c>
      <c r="F36" s="23">
        <v>29</v>
      </c>
      <c r="G36" s="28"/>
      <c r="H36" s="17"/>
      <c r="I36" s="22"/>
      <c r="J36" s="24"/>
      <c r="K36" s="12"/>
    </row>
    <row r="37" spans="2:11" x14ac:dyDescent="0.25">
      <c r="B37" s="98"/>
      <c r="C37" s="20" t="s">
        <v>29</v>
      </c>
      <c r="D37" s="21">
        <v>1.8</v>
      </c>
      <c r="E37" s="22">
        <v>1.7</v>
      </c>
      <c r="F37" s="23">
        <v>29</v>
      </c>
      <c r="G37" s="22"/>
      <c r="H37" s="17"/>
      <c r="I37" s="22"/>
      <c r="J37" s="24"/>
      <c r="K37" s="12"/>
    </row>
    <row r="38" spans="2:11" x14ac:dyDescent="0.25">
      <c r="B38" s="6"/>
      <c r="C38" s="20" t="s">
        <v>30</v>
      </c>
      <c r="D38" s="21">
        <v>1.8</v>
      </c>
      <c r="E38" s="22">
        <v>1.7</v>
      </c>
      <c r="F38" s="23">
        <v>29</v>
      </c>
      <c r="G38" s="22"/>
      <c r="H38" s="17"/>
      <c r="I38" s="22"/>
      <c r="J38" s="24"/>
      <c r="K38" s="12"/>
    </row>
    <row r="39" spans="2:11" x14ac:dyDescent="0.25">
      <c r="B39" s="6"/>
      <c r="C39" s="20" t="s">
        <v>31</v>
      </c>
      <c r="D39" s="21">
        <v>0.73</v>
      </c>
      <c r="E39" s="22">
        <v>1.7</v>
      </c>
      <c r="F39" s="23">
        <v>29</v>
      </c>
      <c r="G39" s="22"/>
      <c r="H39" s="99"/>
      <c r="I39" s="19"/>
      <c r="J39" s="24"/>
      <c r="K39" s="12"/>
    </row>
    <row r="40" spans="2:11" x14ac:dyDescent="0.25">
      <c r="B40" s="6"/>
      <c r="C40" s="49" t="s">
        <v>42</v>
      </c>
      <c r="D40" s="50">
        <v>1.8</v>
      </c>
      <c r="E40" s="51">
        <v>1.7</v>
      </c>
      <c r="F40" s="52">
        <v>29</v>
      </c>
      <c r="G40" s="53"/>
      <c r="H40" s="98"/>
      <c r="I40" s="100"/>
      <c r="J40" s="101"/>
      <c r="K40" s="12"/>
    </row>
    <row r="41" spans="2:11" x14ac:dyDescent="0.25">
      <c r="B41" s="6"/>
      <c r="C41" s="57" t="s">
        <v>50</v>
      </c>
      <c r="D41" s="58">
        <f>'Fwy &amp; Tee Quantities '!C38</f>
        <v>9</v>
      </c>
      <c r="E41" s="59">
        <v>1.7</v>
      </c>
      <c r="F41" s="60">
        <v>29</v>
      </c>
      <c r="G41" s="59" t="s">
        <v>51</v>
      </c>
      <c r="H41" s="102"/>
      <c r="I41" s="103"/>
      <c r="J41" s="104"/>
      <c r="K41" s="12"/>
    </row>
    <row r="42" spans="2:11" x14ac:dyDescent="0.25">
      <c r="B42" s="6"/>
      <c r="C42" s="57" t="s">
        <v>14</v>
      </c>
      <c r="D42" s="58">
        <f>'Fwy &amp; Tee Quantities '!C22</f>
        <v>0.37</v>
      </c>
      <c r="E42" s="59">
        <v>1.7</v>
      </c>
      <c r="F42" s="60">
        <v>29</v>
      </c>
      <c r="G42" s="182" t="s">
        <v>15</v>
      </c>
      <c r="H42" s="102"/>
      <c r="I42" s="103"/>
      <c r="J42" s="104"/>
      <c r="K42" s="12"/>
    </row>
    <row r="43" spans="2:11" x14ac:dyDescent="0.25">
      <c r="B43" s="6"/>
      <c r="C43" s="57" t="s">
        <v>52</v>
      </c>
      <c r="D43" s="58">
        <f>'Fwy &amp; Tee Quantities '!C36</f>
        <v>6</v>
      </c>
      <c r="E43" s="59">
        <v>1.7</v>
      </c>
      <c r="F43" s="60">
        <v>29</v>
      </c>
      <c r="G43" s="61" t="s">
        <v>53</v>
      </c>
      <c r="H43" s="102"/>
      <c r="I43" s="103"/>
      <c r="J43" s="104"/>
      <c r="K43" s="12" t="s">
        <v>54</v>
      </c>
    </row>
    <row r="44" spans="2:11" x14ac:dyDescent="0.25">
      <c r="B44" s="6"/>
      <c r="C44" s="62" t="s">
        <v>55</v>
      </c>
      <c r="D44" s="63">
        <f>'Fwy &amp; Tee Quantities '!C32</f>
        <v>0.75</v>
      </c>
      <c r="E44" s="64"/>
      <c r="F44" s="224">
        <v>29</v>
      </c>
      <c r="G44" s="64" t="s">
        <v>56</v>
      </c>
      <c r="H44" s="1013"/>
      <c r="I44" s="103"/>
      <c r="J44" s="104"/>
      <c r="K44" s="12"/>
    </row>
    <row r="45" spans="2:11" x14ac:dyDescent="0.25">
      <c r="B45" s="6"/>
      <c r="C45" s="62" t="s">
        <v>43</v>
      </c>
      <c r="D45" s="63">
        <f>'Fwy &amp; Tee Quantities '!C31</f>
        <v>3.5</v>
      </c>
      <c r="E45" s="64">
        <v>1.7</v>
      </c>
      <c r="F45" s="65">
        <v>29</v>
      </c>
      <c r="G45" s="105" t="s">
        <v>44</v>
      </c>
      <c r="H45" s="102"/>
      <c r="I45" s="103"/>
      <c r="J45" s="104"/>
      <c r="K45" s="12"/>
    </row>
    <row r="46" spans="2:11" x14ac:dyDescent="0.25">
      <c r="B46" s="45"/>
      <c r="C46" s="54" t="s">
        <v>57</v>
      </c>
      <c r="D46" s="55">
        <f>'Fwy &amp; Tee Quantities '!C23</f>
        <v>3</v>
      </c>
      <c r="E46" s="56">
        <v>1.7</v>
      </c>
      <c r="F46" s="56">
        <v>29</v>
      </c>
      <c r="G46" s="56" t="s">
        <v>58</v>
      </c>
      <c r="H46" s="46"/>
      <c r="I46" s="47"/>
      <c r="J46" s="44"/>
      <c r="K46" s="12"/>
    </row>
    <row r="47" spans="2:11" x14ac:dyDescent="0.25">
      <c r="B47" s="45"/>
      <c r="C47" s="869"/>
      <c r="D47" s="870"/>
      <c r="E47" s="871"/>
      <c r="F47" s="871"/>
      <c r="G47" s="871"/>
      <c r="H47" s="862"/>
      <c r="I47" s="864"/>
      <c r="J47" s="866"/>
      <c r="K47" s="722"/>
    </row>
    <row r="48" spans="2:11" x14ac:dyDescent="0.25">
      <c r="B48" s="45">
        <v>45795</v>
      </c>
      <c r="C48" s="969" t="s">
        <v>32</v>
      </c>
      <c r="D48" s="75">
        <v>4</v>
      </c>
      <c r="E48" s="75">
        <v>1.7</v>
      </c>
      <c r="F48" s="75">
        <v>29</v>
      </c>
      <c r="G48" s="77"/>
      <c r="H48" s="985"/>
      <c r="I48" s="304"/>
      <c r="J48" s="304"/>
      <c r="K48" s="591"/>
    </row>
    <row r="49" spans="2:11" x14ac:dyDescent="0.25">
      <c r="B49" s="6"/>
      <c r="C49" s="31"/>
      <c r="D49" s="32"/>
      <c r="E49" s="33"/>
      <c r="F49" s="34"/>
      <c r="G49" s="33"/>
      <c r="H49" s="35"/>
      <c r="I49" s="106"/>
      <c r="J49" s="107"/>
      <c r="K49" s="12"/>
    </row>
    <row r="50" spans="2:11" x14ac:dyDescent="0.25">
      <c r="B50" s="108">
        <v>46170</v>
      </c>
      <c r="C50" s="109" t="s">
        <v>59</v>
      </c>
      <c r="D50" s="110">
        <f>'Fwy &amp; Tee Quantities '!C7</f>
        <v>1.1000000000000001</v>
      </c>
      <c r="E50" s="111">
        <v>1.7</v>
      </c>
      <c r="F50" s="26">
        <v>29</v>
      </c>
      <c r="G50" s="111" t="s">
        <v>60</v>
      </c>
      <c r="H50" s="12" t="s">
        <v>61</v>
      </c>
      <c r="I50" s="112" t="s">
        <v>19</v>
      </c>
      <c r="J50" s="113" t="s">
        <v>62</v>
      </c>
      <c r="K50" s="12"/>
    </row>
    <row r="51" spans="2:11" x14ac:dyDescent="0.25">
      <c r="B51" s="41"/>
      <c r="C51" s="20" t="s">
        <v>27</v>
      </c>
      <c r="D51" s="21">
        <v>6.5000000000000002E-2</v>
      </c>
      <c r="E51" s="22">
        <v>1.7</v>
      </c>
      <c r="F51" s="23">
        <v>29</v>
      </c>
      <c r="G51" s="22"/>
      <c r="H51" s="17"/>
      <c r="I51" s="22"/>
      <c r="J51" s="24"/>
      <c r="K51" s="12"/>
    </row>
    <row r="52" spans="2:11" x14ac:dyDescent="0.25">
      <c r="B52" s="114"/>
      <c r="C52" s="20" t="s">
        <v>41</v>
      </c>
      <c r="D52" s="21">
        <v>0.54</v>
      </c>
      <c r="E52" s="22">
        <v>1.7</v>
      </c>
      <c r="F52" s="23">
        <v>29</v>
      </c>
      <c r="G52" s="22"/>
      <c r="H52" s="17"/>
      <c r="I52" s="22"/>
      <c r="J52" s="24"/>
      <c r="K52" s="12"/>
    </row>
    <row r="53" spans="2:11" x14ac:dyDescent="0.25">
      <c r="B53" s="114"/>
      <c r="C53" s="20" t="s">
        <v>29</v>
      </c>
      <c r="D53" s="21">
        <v>1.8</v>
      </c>
      <c r="E53" s="22">
        <v>1.7</v>
      </c>
      <c r="F53" s="23">
        <v>29</v>
      </c>
      <c r="G53" s="22"/>
      <c r="H53" s="17"/>
      <c r="I53" s="22"/>
      <c r="J53" s="24"/>
      <c r="K53" s="12"/>
    </row>
    <row r="54" spans="2:11" x14ac:dyDescent="0.25">
      <c r="B54" s="114"/>
      <c r="C54" s="20" t="s">
        <v>30</v>
      </c>
      <c r="D54" s="21">
        <v>1.8</v>
      </c>
      <c r="E54" s="22">
        <v>1.7</v>
      </c>
      <c r="F54" s="23">
        <v>29</v>
      </c>
      <c r="G54" s="22"/>
      <c r="H54" s="17"/>
      <c r="I54" s="22"/>
      <c r="J54" s="24"/>
      <c r="K54" s="12"/>
    </row>
    <row r="55" spans="2:11" x14ac:dyDescent="0.25">
      <c r="B55" s="114"/>
      <c r="C55" s="20" t="s">
        <v>31</v>
      </c>
      <c r="D55" s="21">
        <v>0.73</v>
      </c>
      <c r="E55" s="22">
        <v>1.7</v>
      </c>
      <c r="F55" s="23">
        <v>29</v>
      </c>
      <c r="G55" s="22"/>
      <c r="H55" s="99"/>
      <c r="I55" s="22"/>
      <c r="J55" s="24"/>
      <c r="K55" s="12"/>
    </row>
    <row r="56" spans="2:11" x14ac:dyDescent="0.25">
      <c r="B56" s="114"/>
      <c r="C56" s="49" t="s">
        <v>42</v>
      </c>
      <c r="D56" s="50">
        <v>1.8</v>
      </c>
      <c r="E56" s="51">
        <v>1.7</v>
      </c>
      <c r="F56" s="52">
        <v>29</v>
      </c>
      <c r="G56" s="53"/>
      <c r="H56" s="98"/>
      <c r="I56" s="19"/>
      <c r="J56" s="24"/>
      <c r="K56" s="12"/>
    </row>
    <row r="57" spans="2:11" x14ac:dyDescent="0.25">
      <c r="B57" s="114"/>
      <c r="C57" s="57" t="s">
        <v>50</v>
      </c>
      <c r="D57" s="58">
        <f>'Fwy &amp; Tee Quantities '!C38</f>
        <v>9</v>
      </c>
      <c r="E57" s="59">
        <v>1.7</v>
      </c>
      <c r="F57" s="60">
        <v>29</v>
      </c>
      <c r="G57" s="59" t="s">
        <v>51</v>
      </c>
      <c r="H57" s="6"/>
      <c r="I57" s="19"/>
      <c r="J57" s="24"/>
      <c r="K57" s="12"/>
    </row>
    <row r="58" spans="2:11" x14ac:dyDescent="0.25">
      <c r="B58" s="114"/>
      <c r="C58" s="57" t="s">
        <v>14</v>
      </c>
      <c r="D58" s="58">
        <f>'Fwy &amp; Tee Quantities '!C22</f>
        <v>0.37</v>
      </c>
      <c r="E58" s="59">
        <v>1.7</v>
      </c>
      <c r="F58" s="60">
        <v>29</v>
      </c>
      <c r="G58" s="182" t="s">
        <v>15</v>
      </c>
      <c r="H58" s="6"/>
      <c r="I58" s="19"/>
      <c r="J58" s="24"/>
      <c r="K58" s="12"/>
    </row>
    <row r="59" spans="2:11" x14ac:dyDescent="0.25">
      <c r="B59" s="114"/>
      <c r="C59" s="57" t="s">
        <v>52</v>
      </c>
      <c r="D59" s="58">
        <f>'Fwy &amp; Tee Quantities '!C36</f>
        <v>6</v>
      </c>
      <c r="E59" s="59">
        <v>1.7</v>
      </c>
      <c r="F59" s="60">
        <v>29</v>
      </c>
      <c r="G59" s="61" t="s">
        <v>53</v>
      </c>
      <c r="H59" s="6"/>
      <c r="I59" s="19"/>
      <c r="J59" s="24"/>
      <c r="K59" s="12" t="s">
        <v>54</v>
      </c>
    </row>
    <row r="60" spans="2:11" x14ac:dyDescent="0.25">
      <c r="B60" s="115"/>
      <c r="C60" s="62" t="s">
        <v>55</v>
      </c>
      <c r="D60" s="63">
        <f>'Fwy &amp; Tee Quantities '!C32</f>
        <v>0.75</v>
      </c>
      <c r="E60" s="64">
        <v>1.7</v>
      </c>
      <c r="F60" s="224">
        <v>29</v>
      </c>
      <c r="G60" s="64" t="s">
        <v>56</v>
      </c>
      <c r="H60" s="131"/>
      <c r="I60" s="19"/>
      <c r="J60" s="24"/>
      <c r="K60" s="12"/>
    </row>
    <row r="61" spans="2:11" x14ac:dyDescent="0.25">
      <c r="B61" s="115"/>
      <c r="C61" s="62" t="s">
        <v>43</v>
      </c>
      <c r="D61" s="63">
        <f>'Fwy &amp; Tee Quantities '!C31</f>
        <v>3.5</v>
      </c>
      <c r="E61" s="64">
        <v>1.7</v>
      </c>
      <c r="F61" s="224">
        <v>29</v>
      </c>
      <c r="G61" s="66" t="s">
        <v>44</v>
      </c>
      <c r="H61" s="873"/>
      <c r="I61" s="119"/>
      <c r="J61" s="120"/>
      <c r="K61" s="12"/>
    </row>
    <row r="62" spans="2:11" x14ac:dyDescent="0.25">
      <c r="B62" s="876"/>
      <c r="C62" s="116"/>
      <c r="D62" s="68"/>
      <c r="E62" s="69"/>
      <c r="F62" s="117"/>
      <c r="G62" s="70"/>
      <c r="H62" s="71"/>
      <c r="I62" s="69"/>
      <c r="J62" s="72"/>
      <c r="K62" s="585"/>
    </row>
    <row r="63" spans="2:11" x14ac:dyDescent="0.25">
      <c r="B63" s="95">
        <v>46184</v>
      </c>
      <c r="C63" s="124" t="s">
        <v>39</v>
      </c>
      <c r="D63" s="110">
        <v>1.8</v>
      </c>
      <c r="E63" s="111">
        <v>1.7</v>
      </c>
      <c r="F63" s="872">
        <v>29</v>
      </c>
      <c r="G63" s="16" t="s">
        <v>40</v>
      </c>
      <c r="H63" s="874"/>
      <c r="I63" s="125"/>
      <c r="J63" s="126"/>
      <c r="K63" s="12"/>
    </row>
    <row r="64" spans="2:11" x14ac:dyDescent="0.25">
      <c r="B64" s="13"/>
      <c r="C64" s="158" t="s">
        <v>27</v>
      </c>
      <c r="D64" s="127"/>
      <c r="E64" s="20">
        <v>1.7</v>
      </c>
      <c r="F64" s="23">
        <v>29</v>
      </c>
      <c r="G64" s="875"/>
      <c r="H64" s="6"/>
      <c r="I64" s="128"/>
      <c r="J64" s="129"/>
      <c r="K64" s="12"/>
    </row>
    <row r="65" spans="2:11" x14ac:dyDescent="0.25">
      <c r="B65" s="118"/>
      <c r="C65" s="20" t="s">
        <v>28</v>
      </c>
      <c r="D65" s="21">
        <v>0.54</v>
      </c>
      <c r="E65" s="22">
        <v>1.7</v>
      </c>
      <c r="F65" s="23">
        <v>29</v>
      </c>
      <c r="G65" s="28"/>
      <c r="H65" s="6"/>
      <c r="I65" s="128"/>
      <c r="J65" s="129"/>
      <c r="K65" s="12"/>
    </row>
    <row r="66" spans="2:11" x14ac:dyDescent="0.25">
      <c r="B66" s="6"/>
      <c r="C66" s="20" t="s">
        <v>29</v>
      </c>
      <c r="D66" s="21">
        <v>1.8</v>
      </c>
      <c r="E66" s="22">
        <v>1.7</v>
      </c>
      <c r="F66" s="23">
        <v>29</v>
      </c>
      <c r="G66" s="22"/>
      <c r="H66" s="6"/>
      <c r="I66" s="128"/>
      <c r="J66" s="129"/>
      <c r="K66" s="12"/>
    </row>
    <row r="67" spans="2:11" x14ac:dyDescent="0.25">
      <c r="B67" s="6"/>
      <c r="C67" s="20" t="s">
        <v>30</v>
      </c>
      <c r="D67" s="21">
        <v>1.8</v>
      </c>
      <c r="E67" s="22">
        <v>1.7</v>
      </c>
      <c r="F67" s="23">
        <v>29</v>
      </c>
      <c r="G67" s="22"/>
      <c r="H67" s="6"/>
      <c r="I67" s="128"/>
      <c r="J67" s="129"/>
      <c r="K67" s="12"/>
    </row>
    <row r="68" spans="2:11" x14ac:dyDescent="0.25">
      <c r="B68" s="6"/>
      <c r="C68" s="20" t="s">
        <v>31</v>
      </c>
      <c r="D68" s="21">
        <v>0.73</v>
      </c>
      <c r="E68" s="22">
        <v>1.7</v>
      </c>
      <c r="F68" s="23">
        <v>29</v>
      </c>
      <c r="G68" s="22"/>
      <c r="H68" s="6"/>
      <c r="I68" s="128"/>
      <c r="J68" s="129"/>
      <c r="K68" s="12"/>
    </row>
    <row r="69" spans="2:11" x14ac:dyDescent="0.25">
      <c r="B69" s="6"/>
      <c r="C69" s="49" t="s">
        <v>42</v>
      </c>
      <c r="D69" s="50">
        <v>1.8</v>
      </c>
      <c r="E69" s="51">
        <v>1.7</v>
      </c>
      <c r="F69" s="52">
        <v>29</v>
      </c>
      <c r="G69" s="53"/>
      <c r="H69" s="6"/>
      <c r="I69" s="128"/>
      <c r="J69" s="129"/>
      <c r="K69" s="12"/>
    </row>
    <row r="70" spans="2:11" x14ac:dyDescent="0.25">
      <c r="B70" s="6"/>
      <c r="C70" s="57" t="s">
        <v>50</v>
      </c>
      <c r="D70" s="58">
        <f>'Fwy &amp; Tee Quantities '!C38</f>
        <v>9</v>
      </c>
      <c r="E70" s="59">
        <v>1.7</v>
      </c>
      <c r="F70" s="130">
        <v>29</v>
      </c>
      <c r="G70" s="61" t="s">
        <v>51</v>
      </c>
      <c r="H70" s="6"/>
      <c r="I70" s="128"/>
      <c r="J70" s="129"/>
      <c r="K70" s="12"/>
    </row>
    <row r="71" spans="2:11" x14ac:dyDescent="0.25">
      <c r="B71" s="6"/>
      <c r="C71" s="57" t="s">
        <v>14</v>
      </c>
      <c r="D71" s="58">
        <f>'Fwy &amp; Tee Quantities '!C22</f>
        <v>0.37</v>
      </c>
      <c r="E71" s="59">
        <v>1.7</v>
      </c>
      <c r="F71" s="1047">
        <v>29</v>
      </c>
      <c r="G71" s="59" t="s">
        <v>15</v>
      </c>
      <c r="H71" s="131"/>
      <c r="I71" s="128"/>
      <c r="J71" s="129"/>
      <c r="K71" s="12"/>
    </row>
    <row r="72" spans="2:11" x14ac:dyDescent="0.25">
      <c r="B72" s="6"/>
      <c r="C72" s="57" t="s">
        <v>52</v>
      </c>
      <c r="D72" s="58">
        <f>'Fwy &amp; Tee Quantities '!C36</f>
        <v>6</v>
      </c>
      <c r="E72" s="59">
        <v>1.7</v>
      </c>
      <c r="F72" s="130">
        <v>29</v>
      </c>
      <c r="G72" s="1083" t="s">
        <v>53</v>
      </c>
      <c r="H72" s="131"/>
      <c r="I72" s="128"/>
      <c r="J72" s="129"/>
      <c r="K72" s="12" t="s">
        <v>54</v>
      </c>
    </row>
    <row r="73" spans="2:11" x14ac:dyDescent="0.25">
      <c r="B73" s="6"/>
      <c r="C73" s="62" t="s">
        <v>55</v>
      </c>
      <c r="D73" s="63">
        <f>'Fwy &amp; Tee Quantities '!C32</f>
        <v>0.75</v>
      </c>
      <c r="E73" s="64">
        <v>1.7</v>
      </c>
      <c r="F73" s="65">
        <v>29</v>
      </c>
      <c r="G73" s="64" t="s">
        <v>56</v>
      </c>
      <c r="H73" s="131"/>
      <c r="I73" s="128"/>
      <c r="J73" s="129"/>
      <c r="K73" s="12"/>
    </row>
    <row r="74" spans="2:11" x14ac:dyDescent="0.25">
      <c r="B74" s="6"/>
      <c r="C74" s="62" t="s">
        <v>43</v>
      </c>
      <c r="D74" s="63">
        <f>'Fwy &amp; Tee Quantities '!C31</f>
        <v>3.5</v>
      </c>
      <c r="E74" s="64">
        <v>1.7</v>
      </c>
      <c r="F74" s="65">
        <v>29</v>
      </c>
      <c r="G74" s="66" t="s">
        <v>44</v>
      </c>
      <c r="H74" s="131"/>
      <c r="I74" s="128"/>
      <c r="J74" s="129"/>
      <c r="K74" s="12"/>
    </row>
    <row r="75" spans="2:11" x14ac:dyDescent="0.25">
      <c r="B75" s="6"/>
      <c r="C75" s="132"/>
      <c r="D75" s="133"/>
      <c r="E75" s="134"/>
      <c r="F75" s="135"/>
      <c r="G75" s="136"/>
      <c r="H75" s="137"/>
      <c r="I75" s="134"/>
      <c r="J75" s="138"/>
      <c r="K75" s="12"/>
    </row>
    <row r="76" spans="2:11" x14ac:dyDescent="0.25">
      <c r="B76" s="95">
        <v>46188</v>
      </c>
      <c r="C76" s="139" t="s">
        <v>32</v>
      </c>
      <c r="D76" s="140">
        <f>'Fwy &amp; Tee Quantities '!C41</f>
        <v>4</v>
      </c>
      <c r="E76" s="141">
        <v>1.7</v>
      </c>
      <c r="F76" s="142">
        <v>29</v>
      </c>
      <c r="G76" s="141"/>
      <c r="H76" s="143"/>
      <c r="I76" s="143"/>
      <c r="J76" s="144"/>
      <c r="K76" s="12"/>
    </row>
    <row r="77" spans="2:11" x14ac:dyDescent="0.25">
      <c r="B77" s="13"/>
      <c r="C77" s="139" t="s">
        <v>63</v>
      </c>
      <c r="D77" s="140">
        <v>0.5</v>
      </c>
      <c r="E77" s="141">
        <v>1.7</v>
      </c>
      <c r="F77" s="142">
        <v>29</v>
      </c>
      <c r="G77" s="75"/>
      <c r="H77" s="143"/>
      <c r="I77" s="143"/>
      <c r="J77" s="144"/>
      <c r="K77" s="12"/>
    </row>
    <row r="78" spans="2:11" x14ac:dyDescent="0.25">
      <c r="B78" s="146"/>
      <c r="C78" s="14" t="s">
        <v>16</v>
      </c>
      <c r="D78" s="15">
        <f>'Fwy &amp; Tee Quantities '!C9</f>
        <v>8.5</v>
      </c>
      <c r="E78" s="16">
        <v>1.7</v>
      </c>
      <c r="F78" s="16">
        <v>29</v>
      </c>
      <c r="G78" s="111" t="s">
        <v>17</v>
      </c>
      <c r="H78" s="12" t="s">
        <v>18</v>
      </c>
      <c r="I78" s="572" t="s">
        <v>19</v>
      </c>
      <c r="J78" s="145">
        <v>3</v>
      </c>
      <c r="K78" s="12"/>
    </row>
    <row r="79" spans="2:11" x14ac:dyDescent="0.25">
      <c r="B79" s="146"/>
      <c r="C79" s="54" t="s">
        <v>64</v>
      </c>
      <c r="D79" s="56">
        <v>0.73499999999999999</v>
      </c>
      <c r="E79" s="56">
        <v>1.7</v>
      </c>
      <c r="F79" s="56">
        <v>29</v>
      </c>
      <c r="G79" s="56" t="s">
        <v>65</v>
      </c>
      <c r="H79" s="123"/>
      <c r="I79" s="123"/>
      <c r="J79" s="877"/>
      <c r="K79" s="12"/>
    </row>
    <row r="80" spans="2:11" x14ac:dyDescent="0.25">
      <c r="B80" s="150">
        <v>46198</v>
      </c>
      <c r="C80" s="132"/>
      <c r="D80" s="133"/>
      <c r="E80" s="134"/>
      <c r="F80" s="135"/>
      <c r="G80" s="136"/>
      <c r="H80" s="147"/>
      <c r="I80" s="148"/>
      <c r="J80" s="149"/>
      <c r="K80" s="12"/>
    </row>
    <row r="81" spans="2:11" x14ac:dyDescent="0.25">
      <c r="B81" s="154"/>
      <c r="C81" s="14" t="s">
        <v>39</v>
      </c>
      <c r="D81" s="15">
        <f>'Fwy &amp; Tee Quantities '!C8</f>
        <v>1.8</v>
      </c>
      <c r="E81" s="16">
        <v>1.7</v>
      </c>
      <c r="F81" s="16">
        <v>29</v>
      </c>
      <c r="G81" s="151" t="s">
        <v>40</v>
      </c>
      <c r="H81" s="152"/>
      <c r="I81" s="153" t="s">
        <v>66</v>
      </c>
      <c r="J81" s="24" t="s">
        <v>67</v>
      </c>
      <c r="K81" s="12"/>
    </row>
    <row r="82" spans="2:11" x14ac:dyDescent="0.25">
      <c r="B82" s="12"/>
      <c r="C82" s="155" t="s">
        <v>24</v>
      </c>
      <c r="D82" s="15">
        <f>'Fwy &amp; Tee Quantities '!C5</f>
        <v>4</v>
      </c>
      <c r="E82" s="16">
        <v>1.7</v>
      </c>
      <c r="F82" s="26">
        <v>29</v>
      </c>
      <c r="G82" s="16" t="s">
        <v>68</v>
      </c>
      <c r="H82" s="99"/>
      <c r="I82" s="153"/>
      <c r="J82" s="24">
        <v>2</v>
      </c>
      <c r="K82" s="12"/>
    </row>
    <row r="83" spans="2:11" x14ac:dyDescent="0.25">
      <c r="B83" s="118"/>
      <c r="C83" s="54" t="s">
        <v>69</v>
      </c>
      <c r="D83" s="55">
        <f>'Fwy &amp; Tee Quantities '!C24</f>
        <v>16</v>
      </c>
      <c r="E83" s="89">
        <v>1.7</v>
      </c>
      <c r="F83" s="156">
        <v>29</v>
      </c>
      <c r="G83" s="56" t="s">
        <v>70</v>
      </c>
      <c r="H83" s="29"/>
      <c r="I83" s="22"/>
      <c r="J83" s="157"/>
      <c r="K83" s="12"/>
    </row>
    <row r="84" spans="2:11" x14ac:dyDescent="0.25">
      <c r="B84" s="6"/>
      <c r="C84" s="158" t="s">
        <v>27</v>
      </c>
      <c r="D84" s="127"/>
      <c r="E84" s="159">
        <v>1.7</v>
      </c>
      <c r="F84" s="23">
        <v>29</v>
      </c>
      <c r="G84" s="97"/>
      <c r="H84" s="17"/>
      <c r="I84" s="22"/>
      <c r="J84" s="24"/>
      <c r="K84" s="12"/>
    </row>
    <row r="85" spans="2:11" x14ac:dyDescent="0.25">
      <c r="B85" s="161"/>
      <c r="C85" s="160" t="s">
        <v>41</v>
      </c>
      <c r="D85" s="21">
        <v>0.54</v>
      </c>
      <c r="E85" s="22">
        <v>1.7</v>
      </c>
      <c r="F85" s="23">
        <v>29</v>
      </c>
      <c r="G85" s="28"/>
      <c r="H85" s="17"/>
      <c r="I85" s="22"/>
      <c r="J85" s="24"/>
      <c r="K85" s="12"/>
    </row>
    <row r="86" spans="2:11" x14ac:dyDescent="0.25">
      <c r="B86" s="98"/>
      <c r="C86" s="20" t="s">
        <v>29</v>
      </c>
      <c r="D86" s="21">
        <v>1.8</v>
      </c>
      <c r="E86" s="22">
        <v>1.7</v>
      </c>
      <c r="F86" s="23">
        <v>29</v>
      </c>
      <c r="G86" s="22"/>
      <c r="H86" s="17"/>
      <c r="I86" s="22"/>
      <c r="J86" s="24"/>
      <c r="K86" s="12"/>
    </row>
    <row r="87" spans="2:11" x14ac:dyDescent="0.25">
      <c r="B87" s="118"/>
      <c r="C87" s="20" t="s">
        <v>30</v>
      </c>
      <c r="D87" s="21">
        <v>1.8</v>
      </c>
      <c r="E87" s="22">
        <v>1.7</v>
      </c>
      <c r="F87" s="23">
        <v>29</v>
      </c>
      <c r="G87" s="22"/>
      <c r="H87" s="99"/>
      <c r="I87" s="22"/>
      <c r="J87" s="24"/>
      <c r="K87" s="12"/>
    </row>
    <row r="88" spans="2:11" x14ac:dyDescent="0.25">
      <c r="B88" s="6"/>
      <c r="C88" s="20" t="s">
        <v>31</v>
      </c>
      <c r="D88" s="21">
        <v>0.73</v>
      </c>
      <c r="E88" s="22">
        <v>1.7</v>
      </c>
      <c r="F88" s="23">
        <v>29</v>
      </c>
      <c r="G88" s="22"/>
      <c r="H88" s="98"/>
      <c r="I88" s="19"/>
      <c r="J88" s="24"/>
      <c r="K88" s="12"/>
    </row>
    <row r="89" spans="2:11" x14ac:dyDescent="0.25">
      <c r="B89" s="6"/>
      <c r="C89" s="49" t="s">
        <v>42</v>
      </c>
      <c r="D89" s="50">
        <v>1.8</v>
      </c>
      <c r="E89" s="51">
        <v>1.7</v>
      </c>
      <c r="F89" s="52">
        <v>29</v>
      </c>
      <c r="G89" s="53"/>
      <c r="H89" s="6"/>
      <c r="I89" s="19"/>
      <c r="J89" s="24"/>
      <c r="K89" s="12"/>
    </row>
    <row r="90" spans="2:11" x14ac:dyDescent="0.25">
      <c r="B90" s="6"/>
      <c r="C90" s="57" t="s">
        <v>50</v>
      </c>
      <c r="D90" s="58">
        <f>'Fwy &amp; Tee Quantities '!C38</f>
        <v>9</v>
      </c>
      <c r="E90" s="59">
        <v>1.7</v>
      </c>
      <c r="F90" s="60">
        <v>29</v>
      </c>
      <c r="G90" s="59" t="s">
        <v>51</v>
      </c>
      <c r="H90" s="6"/>
      <c r="I90" s="19"/>
      <c r="J90" s="24"/>
      <c r="K90" s="12"/>
    </row>
    <row r="91" spans="2:11" x14ac:dyDescent="0.25">
      <c r="B91" s="6"/>
      <c r="C91" s="57" t="s">
        <v>14</v>
      </c>
      <c r="D91" s="58">
        <f>'Fwy &amp; Tee Quantities '!C22</f>
        <v>0.37</v>
      </c>
      <c r="E91" s="59">
        <v>1.7</v>
      </c>
      <c r="F91" s="60">
        <v>29</v>
      </c>
      <c r="G91" s="182" t="s">
        <v>15</v>
      </c>
      <c r="H91" s="30"/>
      <c r="I91" s="100"/>
      <c r="J91" s="101"/>
      <c r="K91" s="12"/>
    </row>
    <row r="92" spans="2:11" x14ac:dyDescent="0.25">
      <c r="B92" s="6"/>
      <c r="C92" s="57" t="s">
        <v>52</v>
      </c>
      <c r="D92" s="58">
        <f>'Fwy &amp; Tee Quantities '!C36</f>
        <v>6</v>
      </c>
      <c r="E92" s="59">
        <v>1.7</v>
      </c>
      <c r="F92" s="60">
        <v>29</v>
      </c>
      <c r="G92" s="61" t="s">
        <v>53</v>
      </c>
      <c r="H92" s="30"/>
      <c r="I92" s="100"/>
      <c r="J92" s="101"/>
      <c r="K92" s="12" t="s">
        <v>54</v>
      </c>
    </row>
    <row r="93" spans="2:11" x14ac:dyDescent="0.25">
      <c r="B93" s="6"/>
      <c r="C93" s="62" t="s">
        <v>55</v>
      </c>
      <c r="D93" s="63">
        <f>'Fwy &amp; Tee Quantities '!C32</f>
        <v>0.75</v>
      </c>
      <c r="E93" s="64">
        <v>1.7</v>
      </c>
      <c r="F93" s="65">
        <v>29</v>
      </c>
      <c r="G93" s="64" t="s">
        <v>56</v>
      </c>
      <c r="H93" s="30"/>
      <c r="I93" s="100"/>
      <c r="J93" s="101"/>
      <c r="K93" s="12"/>
    </row>
    <row r="94" spans="2:11" x14ac:dyDescent="0.25">
      <c r="B94" s="30"/>
      <c r="C94" s="62" t="s">
        <v>43</v>
      </c>
      <c r="D94" s="63">
        <f>'Fwy &amp; Tee Quantities '!C31</f>
        <v>3.5</v>
      </c>
      <c r="E94" s="64">
        <v>1.7</v>
      </c>
      <c r="F94" s="65">
        <v>29</v>
      </c>
      <c r="G94" s="66" t="s">
        <v>44</v>
      </c>
      <c r="H94" s="12"/>
      <c r="I94" s="12"/>
      <c r="J94" s="145"/>
      <c r="K94" s="12"/>
    </row>
    <row r="95" spans="2:11" x14ac:dyDescent="0.25">
      <c r="B95" s="31"/>
      <c r="C95" s="31"/>
      <c r="D95" s="32"/>
      <c r="E95" s="33"/>
      <c r="F95" s="162"/>
      <c r="G95" s="106"/>
      <c r="H95" s="163"/>
      <c r="I95" s="93"/>
      <c r="J95" s="94"/>
      <c r="K95" s="585"/>
    </row>
    <row r="96" spans="2:11" x14ac:dyDescent="0.25">
      <c r="B96" s="164">
        <v>46209</v>
      </c>
      <c r="C96" s="14" t="s">
        <v>71</v>
      </c>
      <c r="D96" s="16">
        <f>'Fwy &amp; Tee Quantities '!C15</f>
        <v>0.7</v>
      </c>
      <c r="E96" s="16">
        <v>1.7</v>
      </c>
      <c r="F96" s="16">
        <v>29</v>
      </c>
      <c r="G96" s="16"/>
      <c r="H96" s="1078" t="s">
        <v>72</v>
      </c>
      <c r="I96" s="1079"/>
      <c r="J96" s="165">
        <v>7</v>
      </c>
      <c r="K96" s="12"/>
    </row>
    <row r="97" spans="2:11" x14ac:dyDescent="0.25">
      <c r="B97" s="12"/>
      <c r="C97" s="166" t="s">
        <v>27</v>
      </c>
      <c r="D97" s="167">
        <v>6.5000000000000002E-2</v>
      </c>
      <c r="E97" s="168">
        <v>1.7</v>
      </c>
      <c r="F97" s="23">
        <v>29</v>
      </c>
      <c r="G97" s="168"/>
      <c r="H97" s="169"/>
      <c r="I97" s="38"/>
      <c r="J97" s="165"/>
      <c r="K97" s="12"/>
    </row>
    <row r="98" spans="2:11" x14ac:dyDescent="0.25">
      <c r="B98" s="73"/>
      <c r="C98" s="170" t="s">
        <v>28</v>
      </c>
      <c r="D98" s="171">
        <v>0.54</v>
      </c>
      <c r="E98" s="172">
        <v>1.7</v>
      </c>
      <c r="F98" s="23">
        <v>29</v>
      </c>
      <c r="G98" s="173"/>
      <c r="H98" s="174"/>
      <c r="I98" s="172"/>
      <c r="J98" s="165"/>
      <c r="K98" s="12"/>
    </row>
    <row r="99" spans="2:11" x14ac:dyDescent="0.25">
      <c r="B99" s="6"/>
      <c r="C99" s="170" t="s">
        <v>29</v>
      </c>
      <c r="D99" s="171">
        <v>1.8</v>
      </c>
      <c r="E99" s="172">
        <v>1.7</v>
      </c>
      <c r="F99" s="23">
        <v>29</v>
      </c>
      <c r="G99" s="172"/>
      <c r="H99" s="174"/>
      <c r="I99" s="172"/>
      <c r="J99" s="165"/>
      <c r="K99" s="12"/>
    </row>
    <row r="100" spans="2:11" x14ac:dyDescent="0.25">
      <c r="B100" s="6"/>
      <c r="C100" s="170" t="s">
        <v>30</v>
      </c>
      <c r="D100" s="171">
        <v>1.8</v>
      </c>
      <c r="E100" s="172">
        <v>1.7</v>
      </c>
      <c r="F100" s="23">
        <v>29</v>
      </c>
      <c r="G100" s="172"/>
      <c r="H100" s="99"/>
      <c r="I100" s="172"/>
      <c r="J100" s="165"/>
      <c r="K100" s="12"/>
    </row>
    <row r="101" spans="2:11" x14ac:dyDescent="0.25">
      <c r="B101" s="6"/>
      <c r="C101" s="170" t="s">
        <v>31</v>
      </c>
      <c r="D101" s="171">
        <v>0.73</v>
      </c>
      <c r="E101" s="172">
        <v>1.7</v>
      </c>
      <c r="F101" s="23">
        <v>29</v>
      </c>
      <c r="G101" s="172"/>
      <c r="H101" s="175"/>
      <c r="I101" s="38"/>
      <c r="J101" s="165"/>
      <c r="K101" s="12"/>
    </row>
    <row r="102" spans="2:11" x14ac:dyDescent="0.25">
      <c r="B102" s="6"/>
      <c r="C102" s="176" t="s">
        <v>42</v>
      </c>
      <c r="D102" s="177">
        <v>1.8</v>
      </c>
      <c r="E102" s="178">
        <v>1.7</v>
      </c>
      <c r="F102" s="179">
        <v>29</v>
      </c>
      <c r="G102" s="180"/>
      <c r="H102" s="6"/>
      <c r="I102" s="19"/>
      <c r="J102" s="24"/>
      <c r="K102" s="12"/>
    </row>
    <row r="103" spans="2:11" x14ac:dyDescent="0.25">
      <c r="B103" s="6"/>
      <c r="C103" s="57" t="s">
        <v>50</v>
      </c>
      <c r="D103" s="58">
        <f>'Fwy &amp; Tee Quantities '!C38</f>
        <v>9</v>
      </c>
      <c r="E103" s="59">
        <v>1.7</v>
      </c>
      <c r="F103" s="60">
        <v>29</v>
      </c>
      <c r="G103" s="59" t="s">
        <v>51</v>
      </c>
      <c r="H103" s="6"/>
      <c r="I103" s="19"/>
      <c r="J103" s="24"/>
      <c r="K103" s="12"/>
    </row>
    <row r="104" spans="2:11" x14ac:dyDescent="0.25">
      <c r="B104" s="181"/>
      <c r="C104" s="57" t="s">
        <v>14</v>
      </c>
      <c r="D104" s="58">
        <f>'Fwy &amp; Tee Quantities '!C35</f>
        <v>6</v>
      </c>
      <c r="E104" s="59">
        <v>1.7</v>
      </c>
      <c r="F104" s="60">
        <v>29</v>
      </c>
      <c r="G104" s="182" t="s">
        <v>15</v>
      </c>
      <c r="H104" s="30"/>
      <c r="I104" s="100"/>
      <c r="J104" s="101"/>
      <c r="K104" s="12"/>
    </row>
    <row r="105" spans="2:11" x14ac:dyDescent="0.25">
      <c r="B105" s="6"/>
      <c r="C105" s="57" t="s">
        <v>52</v>
      </c>
      <c r="D105" s="58">
        <f>'Fwy &amp; Tee Quantities '!C36</f>
        <v>6</v>
      </c>
      <c r="E105" s="59">
        <v>1.7</v>
      </c>
      <c r="F105" s="60">
        <v>29</v>
      </c>
      <c r="G105" s="61" t="s">
        <v>53</v>
      </c>
      <c r="H105" s="30"/>
      <c r="I105" s="100"/>
      <c r="J105" s="101"/>
      <c r="K105" s="12" t="s">
        <v>54</v>
      </c>
    </row>
    <row r="106" spans="2:11" x14ac:dyDescent="0.25">
      <c r="B106" s="6"/>
      <c r="C106" s="62" t="s">
        <v>55</v>
      </c>
      <c r="D106" s="63">
        <f>'Fwy &amp; Tee Quantities '!C32</f>
        <v>0.75</v>
      </c>
      <c r="E106" s="64">
        <v>1.7</v>
      </c>
      <c r="F106" s="65">
        <v>29</v>
      </c>
      <c r="G106" s="64" t="s">
        <v>56</v>
      </c>
      <c r="H106" s="30"/>
      <c r="I106" s="100"/>
      <c r="J106" s="101"/>
      <c r="K106" s="12"/>
    </row>
    <row r="107" spans="2:11" x14ac:dyDescent="0.25">
      <c r="B107" s="6"/>
      <c r="C107" s="62" t="s">
        <v>43</v>
      </c>
      <c r="D107" s="63">
        <f>'Fwy &amp; Tee Quantities '!C31</f>
        <v>3.5</v>
      </c>
      <c r="E107" s="64">
        <v>1.7</v>
      </c>
      <c r="F107" s="65">
        <v>29</v>
      </c>
      <c r="G107" s="66" t="s">
        <v>44</v>
      </c>
      <c r="H107" s="12"/>
      <c r="I107" s="12"/>
      <c r="J107" s="145"/>
      <c r="K107" s="12"/>
    </row>
    <row r="108" spans="2:11" x14ac:dyDescent="0.25">
      <c r="B108" s="6"/>
      <c r="C108" s="891"/>
      <c r="D108" s="892"/>
      <c r="E108" s="893"/>
      <c r="F108" s="894"/>
      <c r="G108" s="895"/>
      <c r="H108" s="896"/>
      <c r="I108" s="896"/>
      <c r="J108" s="897"/>
      <c r="K108" s="12"/>
    </row>
    <row r="109" spans="2:11" x14ac:dyDescent="0.25">
      <c r="B109" s="13">
        <v>46216</v>
      </c>
      <c r="C109" s="139" t="s">
        <v>32</v>
      </c>
      <c r="D109" s="982">
        <v>4</v>
      </c>
      <c r="E109" s="982">
        <v>1.7</v>
      </c>
      <c r="F109" s="982">
        <v>29</v>
      </c>
      <c r="G109" s="982"/>
      <c r="H109" s="123"/>
      <c r="I109" s="123"/>
      <c r="J109" s="890"/>
      <c r="K109" s="12"/>
    </row>
    <row r="110" spans="2:11" x14ac:dyDescent="0.25">
      <c r="B110" s="30"/>
      <c r="C110" s="54" t="s">
        <v>69</v>
      </c>
      <c r="D110" s="56">
        <v>16</v>
      </c>
      <c r="E110" s="56">
        <v>1.7</v>
      </c>
      <c r="F110" s="56">
        <v>29</v>
      </c>
      <c r="G110" s="56" t="s">
        <v>73</v>
      </c>
      <c r="H110" s="898"/>
      <c r="I110" s="119"/>
      <c r="J110" s="120"/>
      <c r="K110" s="12"/>
    </row>
    <row r="111" spans="2:11" x14ac:dyDescent="0.25">
      <c r="B111" s="12"/>
      <c r="C111" s="983"/>
      <c r="D111" s="8"/>
      <c r="E111" s="9"/>
      <c r="F111" s="183"/>
      <c r="G111" s="93"/>
      <c r="H111" s="163"/>
      <c r="I111" s="93"/>
      <c r="J111" s="94"/>
      <c r="K111" s="12"/>
    </row>
    <row r="112" spans="2:11" x14ac:dyDescent="0.25">
      <c r="B112" s="220">
        <v>46219</v>
      </c>
      <c r="C112" s="14" t="s">
        <v>39</v>
      </c>
      <c r="D112" s="16">
        <f>'Fwy &amp; Tee Quantities '!C8</f>
        <v>1.8</v>
      </c>
      <c r="E112" s="16">
        <v>1.7</v>
      </c>
      <c r="F112" s="16">
        <v>29</v>
      </c>
      <c r="G112" s="16" t="s">
        <v>40</v>
      </c>
      <c r="H112" s="898"/>
      <c r="I112" s="308"/>
      <c r="J112" s="120"/>
      <c r="K112" s="12"/>
    </row>
    <row r="113" spans="2:16" x14ac:dyDescent="0.25">
      <c r="B113" s="12"/>
      <c r="C113" s="155" t="s">
        <v>74</v>
      </c>
      <c r="D113" s="15">
        <v>0.27</v>
      </c>
      <c r="E113" s="16">
        <v>1.7</v>
      </c>
      <c r="F113" s="26">
        <v>29</v>
      </c>
      <c r="G113" s="16" t="s">
        <v>75</v>
      </c>
      <c r="H113" s="172" t="s">
        <v>76</v>
      </c>
      <c r="I113" s="1004"/>
      <c r="J113" s="24">
        <v>11</v>
      </c>
      <c r="K113" s="12"/>
    </row>
    <row r="114" spans="2:16" x14ac:dyDescent="0.25">
      <c r="B114" s="73"/>
      <c r="C114" s="54" t="s">
        <v>77</v>
      </c>
      <c r="D114" s="55">
        <f>'Fwy &amp; Tee Quantities '!C25</f>
        <v>0.28000000000000003</v>
      </c>
      <c r="E114" s="89">
        <v>1.7</v>
      </c>
      <c r="F114" s="156">
        <v>29</v>
      </c>
      <c r="G114" s="56" t="s">
        <v>78</v>
      </c>
      <c r="H114" s="99"/>
      <c r="I114" s="12"/>
      <c r="K114" s="12"/>
    </row>
    <row r="115" spans="2:16" x14ac:dyDescent="0.25">
      <c r="B115" s="6"/>
      <c r="C115" s="170" t="s">
        <v>27</v>
      </c>
      <c r="D115" s="171">
        <v>6.5000000000000002E-2</v>
      </c>
      <c r="E115" s="172">
        <v>1.7</v>
      </c>
      <c r="F115" s="23">
        <v>29</v>
      </c>
      <c r="G115" s="172"/>
      <c r="H115" s="174"/>
      <c r="I115" s="1005"/>
      <c r="J115" s="165"/>
      <c r="K115" s="12"/>
    </row>
    <row r="116" spans="2:16" x14ac:dyDescent="0.25">
      <c r="B116" s="6"/>
      <c r="C116" s="170" t="s">
        <v>41</v>
      </c>
      <c r="D116" s="171">
        <v>0.54</v>
      </c>
      <c r="E116" s="172">
        <v>1.7</v>
      </c>
      <c r="F116" s="23">
        <v>29</v>
      </c>
      <c r="G116" s="172"/>
      <c r="H116" s="174"/>
      <c r="I116" s="172"/>
      <c r="J116" s="165"/>
      <c r="K116" s="12"/>
    </row>
    <row r="117" spans="2:16" x14ac:dyDescent="0.25">
      <c r="B117" s="181"/>
      <c r="C117" s="170" t="s">
        <v>29</v>
      </c>
      <c r="D117" s="171">
        <v>1.8</v>
      </c>
      <c r="E117" s="172">
        <v>1.7</v>
      </c>
      <c r="F117" s="23">
        <v>29</v>
      </c>
      <c r="G117" s="172"/>
      <c r="H117" s="174"/>
      <c r="I117" s="172"/>
      <c r="J117" s="165"/>
      <c r="K117" s="12"/>
    </row>
    <row r="118" spans="2:16" x14ac:dyDescent="0.25">
      <c r="B118" s="181"/>
      <c r="C118" s="170" t="s">
        <v>30</v>
      </c>
      <c r="D118" s="171">
        <v>1.8</v>
      </c>
      <c r="E118" s="172">
        <v>1.7</v>
      </c>
      <c r="F118" s="23">
        <v>29</v>
      </c>
      <c r="G118" s="172"/>
      <c r="H118" s="174"/>
      <c r="I118" s="172"/>
      <c r="J118" s="165"/>
      <c r="K118" s="12"/>
    </row>
    <row r="119" spans="2:16" x14ac:dyDescent="0.25">
      <c r="B119" s="181"/>
      <c r="C119" s="170" t="s">
        <v>31</v>
      </c>
      <c r="D119" s="171">
        <v>0.73</v>
      </c>
      <c r="E119" s="172">
        <v>1.7</v>
      </c>
      <c r="F119" s="23">
        <v>29</v>
      </c>
      <c r="G119" s="172"/>
      <c r="H119" s="99"/>
      <c r="I119" s="172"/>
      <c r="J119" s="165"/>
      <c r="K119" s="12"/>
    </row>
    <row r="120" spans="2:16" x14ac:dyDescent="0.25">
      <c r="B120" s="181"/>
      <c r="C120" s="176" t="s">
        <v>42</v>
      </c>
      <c r="D120" s="177">
        <v>1.8</v>
      </c>
      <c r="E120" s="178">
        <v>1.7</v>
      </c>
      <c r="F120" s="179">
        <v>29</v>
      </c>
      <c r="G120" s="180"/>
      <c r="H120" s="175"/>
      <c r="I120" s="38"/>
      <c r="J120" s="165"/>
      <c r="K120" s="12"/>
    </row>
    <row r="121" spans="2:16" x14ac:dyDescent="0.25">
      <c r="B121" s="181"/>
      <c r="C121" s="57" t="s">
        <v>50</v>
      </c>
      <c r="D121" s="58">
        <f>'Fwy &amp; Tee Quantities '!C38</f>
        <v>9</v>
      </c>
      <c r="E121" s="59">
        <v>1.7</v>
      </c>
      <c r="F121" s="60">
        <v>29</v>
      </c>
      <c r="G121" s="59" t="s">
        <v>51</v>
      </c>
      <c r="H121" s="6"/>
      <c r="I121" s="19"/>
      <c r="J121" s="24"/>
      <c r="K121" s="12"/>
    </row>
    <row r="122" spans="2:16" x14ac:dyDescent="0.25">
      <c r="B122" s="181"/>
      <c r="C122" s="57" t="s">
        <v>14</v>
      </c>
      <c r="D122" s="58">
        <f>'Fwy &amp; Tee Quantities '!C22</f>
        <v>0.37</v>
      </c>
      <c r="E122" s="59">
        <v>1.7</v>
      </c>
      <c r="F122" s="60">
        <v>29</v>
      </c>
      <c r="G122" s="182" t="s">
        <v>15</v>
      </c>
      <c r="H122" s="6"/>
      <c r="I122" s="19"/>
      <c r="J122" s="24"/>
      <c r="K122" s="12"/>
      <c r="P122" t="s">
        <v>79</v>
      </c>
    </row>
    <row r="123" spans="2:16" x14ac:dyDescent="0.25">
      <c r="B123" s="181"/>
      <c r="C123" s="57" t="s">
        <v>52</v>
      </c>
      <c r="D123" s="58">
        <f>'Fwy &amp; Tee Quantities '!C36</f>
        <v>6</v>
      </c>
      <c r="E123" s="59">
        <v>1.7</v>
      </c>
      <c r="F123" s="60">
        <v>29</v>
      </c>
      <c r="G123" s="61" t="s">
        <v>53</v>
      </c>
      <c r="H123" s="6"/>
      <c r="I123" s="19"/>
      <c r="J123" s="24"/>
      <c r="K123" s="12" t="s">
        <v>54</v>
      </c>
    </row>
    <row r="124" spans="2:16" x14ac:dyDescent="0.25">
      <c r="B124" s="30"/>
      <c r="C124" s="62" t="s">
        <v>43</v>
      </c>
      <c r="D124" s="63">
        <f>'Fwy &amp; Tee Quantities '!C31</f>
        <v>3.5</v>
      </c>
      <c r="E124" s="64">
        <v>1.7</v>
      </c>
      <c r="F124" s="224">
        <v>29</v>
      </c>
      <c r="G124" s="66" t="s">
        <v>44</v>
      </c>
      <c r="H124" s="131"/>
      <c r="I124" s="19"/>
      <c r="J124" s="24"/>
      <c r="K124" s="12"/>
    </row>
    <row r="125" spans="2:16" x14ac:dyDescent="0.25">
      <c r="B125" s="222"/>
      <c r="C125" s="211"/>
      <c r="D125" s="185"/>
      <c r="E125" s="186"/>
      <c r="F125" s="187"/>
      <c r="G125" s="209"/>
      <c r="H125" s="92"/>
      <c r="I125" s="186"/>
      <c r="J125" s="189"/>
      <c r="K125" s="12"/>
    </row>
    <row r="126" spans="2:16" x14ac:dyDescent="0.25">
      <c r="B126" s="95">
        <v>46229</v>
      </c>
      <c r="C126" s="155" t="s">
        <v>21</v>
      </c>
      <c r="D126" s="15">
        <f>'Fwy &amp; Tee Quantities '!C4</f>
        <v>0.5</v>
      </c>
      <c r="E126" s="16">
        <v>1.7</v>
      </c>
      <c r="F126" s="16">
        <v>29</v>
      </c>
      <c r="G126" s="16" t="s">
        <v>22</v>
      </c>
      <c r="H126" s="39"/>
      <c r="I126" s="96" t="s">
        <v>66</v>
      </c>
      <c r="J126" s="24">
        <v>29</v>
      </c>
      <c r="K126" s="12"/>
    </row>
    <row r="127" spans="2:16" x14ac:dyDescent="0.25">
      <c r="B127" s="123"/>
      <c r="C127" s="155" t="s">
        <v>80</v>
      </c>
      <c r="D127" s="15">
        <f>'Fwy &amp; Tee Quantities '!C11</f>
        <v>2</v>
      </c>
      <c r="E127" s="16">
        <v>1.7</v>
      </c>
      <c r="F127" s="16">
        <v>29</v>
      </c>
      <c r="G127" s="16" t="s">
        <v>81</v>
      </c>
      <c r="H127" s="174"/>
      <c r="I127" s="18" t="s">
        <v>19</v>
      </c>
      <c r="J127" s="24">
        <v>1</v>
      </c>
      <c r="K127" s="12"/>
    </row>
    <row r="128" spans="2:16" x14ac:dyDescent="0.25">
      <c r="B128" s="123"/>
      <c r="C128" s="155" t="s">
        <v>82</v>
      </c>
      <c r="D128" s="192">
        <f>'Fwy &amp; Tee Quantities '!C18</f>
        <v>0.5</v>
      </c>
      <c r="E128" s="192">
        <v>1.7</v>
      </c>
      <c r="F128" s="192">
        <v>29</v>
      </c>
      <c r="G128" s="192" t="s">
        <v>83</v>
      </c>
      <c r="H128" s="174"/>
      <c r="I128" s="19"/>
      <c r="J128" s="24"/>
      <c r="K128" s="12"/>
    </row>
    <row r="129" spans="2:11" x14ac:dyDescent="0.25">
      <c r="B129" s="73"/>
      <c r="C129" s="170" t="s">
        <v>27</v>
      </c>
      <c r="D129" s="171">
        <v>6.5000000000000002E-2</v>
      </c>
      <c r="E129" s="172">
        <v>1.7</v>
      </c>
      <c r="F129" s="23">
        <v>29</v>
      </c>
      <c r="G129" s="172"/>
      <c r="H129" s="174"/>
      <c r="I129" s="172"/>
      <c r="J129" s="165"/>
      <c r="K129" s="12"/>
    </row>
    <row r="130" spans="2:11" x14ac:dyDescent="0.25">
      <c r="B130" s="6"/>
      <c r="C130" s="170" t="s">
        <v>28</v>
      </c>
      <c r="D130" s="171">
        <v>0.54</v>
      </c>
      <c r="E130" s="172">
        <v>1.7</v>
      </c>
      <c r="F130" s="23">
        <v>29</v>
      </c>
      <c r="G130" s="172"/>
      <c r="H130" s="174"/>
      <c r="I130" s="172"/>
      <c r="J130" s="165"/>
      <c r="K130" s="12"/>
    </row>
    <row r="131" spans="2:11" x14ac:dyDescent="0.25">
      <c r="B131" s="181"/>
      <c r="C131" s="170" t="s">
        <v>29</v>
      </c>
      <c r="D131" s="171">
        <v>1.8</v>
      </c>
      <c r="E131" s="172">
        <v>1.7</v>
      </c>
      <c r="F131" s="23">
        <v>29</v>
      </c>
      <c r="G131" s="172"/>
      <c r="H131" s="174"/>
      <c r="I131" s="172"/>
      <c r="J131" s="165"/>
      <c r="K131" s="12"/>
    </row>
    <row r="132" spans="2:11" x14ac:dyDescent="0.25">
      <c r="B132" s="181"/>
      <c r="C132" s="170" t="s">
        <v>30</v>
      </c>
      <c r="D132" s="171">
        <v>1.8</v>
      </c>
      <c r="E132" s="172">
        <v>1.7</v>
      </c>
      <c r="F132" s="23">
        <v>29</v>
      </c>
      <c r="G132" s="172"/>
      <c r="H132" s="174"/>
      <c r="I132" s="172"/>
      <c r="J132" s="165"/>
      <c r="K132" s="12"/>
    </row>
    <row r="133" spans="2:11" x14ac:dyDescent="0.25">
      <c r="B133" s="181"/>
      <c r="C133" s="170" t="s">
        <v>31</v>
      </c>
      <c r="D133" s="171">
        <v>0.73</v>
      </c>
      <c r="E133" s="172">
        <v>1.7</v>
      </c>
      <c r="F133" s="23">
        <v>29</v>
      </c>
      <c r="G133" s="172"/>
      <c r="H133" s="99"/>
      <c r="I133" s="172"/>
      <c r="J133" s="165"/>
      <c r="K133" s="12"/>
    </row>
    <row r="134" spans="2:11" x14ac:dyDescent="0.25">
      <c r="B134" s="181"/>
      <c r="C134" s="176" t="s">
        <v>42</v>
      </c>
      <c r="D134" s="177">
        <v>1.8</v>
      </c>
      <c r="E134" s="178">
        <v>1.7</v>
      </c>
      <c r="F134" s="179">
        <v>29</v>
      </c>
      <c r="G134" s="180"/>
      <c r="H134" s="175"/>
      <c r="I134" s="38"/>
      <c r="J134" s="165"/>
      <c r="K134" s="12"/>
    </row>
    <row r="135" spans="2:11" x14ac:dyDescent="0.25">
      <c r="B135" s="181"/>
      <c r="C135" s="57" t="s">
        <v>50</v>
      </c>
      <c r="D135" s="58">
        <f>'Fwy &amp; Tee Quantities '!C38</f>
        <v>9</v>
      </c>
      <c r="E135" s="59">
        <v>1.7</v>
      </c>
      <c r="F135" s="130">
        <v>29</v>
      </c>
      <c r="G135" s="59" t="s">
        <v>51</v>
      </c>
      <c r="H135" s="6"/>
      <c r="I135" s="19"/>
      <c r="J135" s="24"/>
      <c r="K135" s="12"/>
    </row>
    <row r="136" spans="2:11" x14ac:dyDescent="0.25">
      <c r="B136" s="181"/>
      <c r="C136" s="57" t="s">
        <v>14</v>
      </c>
      <c r="D136" s="58">
        <f>'Fwy &amp; Tee Quantities '!C22</f>
        <v>0.37</v>
      </c>
      <c r="E136" s="59">
        <v>1.7</v>
      </c>
      <c r="F136" s="60">
        <v>29</v>
      </c>
      <c r="G136" s="182" t="s">
        <v>15</v>
      </c>
      <c r="H136" s="6"/>
      <c r="I136" s="19"/>
      <c r="J136" s="24"/>
      <c r="K136" s="12"/>
    </row>
    <row r="137" spans="2:11" x14ac:dyDescent="0.25">
      <c r="B137" s="181"/>
      <c r="C137" s="57" t="s">
        <v>52</v>
      </c>
      <c r="D137" s="58">
        <f>'Fwy &amp; Tee Quantities '!C36</f>
        <v>6</v>
      </c>
      <c r="E137" s="59">
        <v>1.7</v>
      </c>
      <c r="F137" s="130">
        <v>29</v>
      </c>
      <c r="G137" s="61" t="s">
        <v>53</v>
      </c>
      <c r="H137" s="6"/>
      <c r="I137" s="19"/>
      <c r="J137" s="24"/>
      <c r="K137" s="12" t="s">
        <v>54</v>
      </c>
    </row>
    <row r="138" spans="2:11" x14ac:dyDescent="0.25">
      <c r="B138" s="181"/>
      <c r="C138" s="62" t="s">
        <v>43</v>
      </c>
      <c r="D138" s="63">
        <f>'Fwy &amp; Tee Quantities '!C31</f>
        <v>3.5</v>
      </c>
      <c r="E138" s="64">
        <v>1.7</v>
      </c>
      <c r="F138" s="65">
        <v>29</v>
      </c>
      <c r="G138" s="105" t="s">
        <v>44</v>
      </c>
      <c r="H138" s="6"/>
      <c r="I138" s="19"/>
      <c r="J138" s="24"/>
      <c r="K138" s="12"/>
    </row>
    <row r="139" spans="2:11" x14ac:dyDescent="0.25">
      <c r="B139" s="899"/>
      <c r="C139" s="132"/>
      <c r="D139" s="133"/>
      <c r="E139" s="134"/>
      <c r="F139" s="193"/>
      <c r="G139" s="134"/>
      <c r="H139" s="188"/>
      <c r="I139" s="134"/>
      <c r="J139" s="138"/>
      <c r="K139" s="926"/>
    </row>
    <row r="140" spans="2:11" x14ac:dyDescent="0.25">
      <c r="B140" s="95">
        <v>46239</v>
      </c>
      <c r="C140" s="194" t="s">
        <v>39</v>
      </c>
      <c r="D140" s="198">
        <v>1.8</v>
      </c>
      <c r="E140" s="195">
        <v>1.7</v>
      </c>
      <c r="F140" s="26">
        <v>29</v>
      </c>
      <c r="G140" s="195" t="s">
        <v>40</v>
      </c>
      <c r="H140" s="6"/>
      <c r="I140" s="196"/>
      <c r="J140" s="199"/>
      <c r="K140" s="12"/>
    </row>
    <row r="141" spans="2:11" x14ac:dyDescent="0.25">
      <c r="B141" s="73"/>
      <c r="C141" s="212" t="s">
        <v>74</v>
      </c>
      <c r="D141" s="215">
        <v>0.27</v>
      </c>
      <c r="E141" s="215">
        <v>1.7</v>
      </c>
      <c r="F141" s="215">
        <v>29</v>
      </c>
      <c r="G141" s="215" t="s">
        <v>75</v>
      </c>
      <c r="H141" s="128" t="s">
        <v>76</v>
      </c>
      <c r="I141" s="1058"/>
      <c r="J141" s="129">
        <v>11</v>
      </c>
      <c r="K141" s="12"/>
    </row>
    <row r="142" spans="2:11" x14ac:dyDescent="0.25">
      <c r="B142" s="6"/>
      <c r="C142" s="200" t="s">
        <v>27</v>
      </c>
      <c r="D142" s="127">
        <v>6.5000000000000002E-2</v>
      </c>
      <c r="E142" s="159">
        <v>1.7</v>
      </c>
      <c r="F142" s="23">
        <v>29</v>
      </c>
      <c r="G142" s="159"/>
      <c r="H142" s="201"/>
      <c r="I142" s="159"/>
      <c r="J142" s="202"/>
      <c r="K142" s="123"/>
    </row>
    <row r="143" spans="2:11" x14ac:dyDescent="0.25">
      <c r="B143" s="6"/>
      <c r="C143" s="200" t="s">
        <v>41</v>
      </c>
      <c r="D143" s="127">
        <v>0.54</v>
      </c>
      <c r="E143" s="159">
        <v>1.7</v>
      </c>
      <c r="F143" s="23">
        <v>29</v>
      </c>
      <c r="G143" s="203"/>
      <c r="H143" s="175"/>
      <c r="I143" s="159"/>
      <c r="J143" s="202"/>
      <c r="K143" s="12"/>
    </row>
    <row r="144" spans="2:11" x14ac:dyDescent="0.25">
      <c r="B144" s="181"/>
      <c r="C144" s="200" t="s">
        <v>29</v>
      </c>
      <c r="D144" s="127">
        <v>1.8</v>
      </c>
      <c r="E144" s="159">
        <v>1.7</v>
      </c>
      <c r="F144" s="23">
        <v>29</v>
      </c>
      <c r="G144" s="159"/>
      <c r="H144" s="175"/>
      <c r="I144" s="159"/>
      <c r="J144" s="202"/>
      <c r="K144" s="12"/>
    </row>
    <row r="145" spans="2:11" x14ac:dyDescent="0.25">
      <c r="B145" s="175"/>
      <c r="C145" s="200" t="s">
        <v>30</v>
      </c>
      <c r="D145" s="127">
        <v>1.8</v>
      </c>
      <c r="E145" s="159">
        <v>1.7</v>
      </c>
      <c r="F145" s="23">
        <v>29</v>
      </c>
      <c r="G145" s="159"/>
      <c r="H145" s="175"/>
      <c r="I145" s="159"/>
      <c r="J145" s="202"/>
      <c r="K145" s="12"/>
    </row>
    <row r="146" spans="2:11" x14ac:dyDescent="0.25">
      <c r="B146" s="181"/>
      <c r="C146" s="200" t="s">
        <v>31</v>
      </c>
      <c r="D146" s="127">
        <v>0.73</v>
      </c>
      <c r="E146" s="159">
        <v>1.7</v>
      </c>
      <c r="F146" s="23">
        <v>29</v>
      </c>
      <c r="G146" s="159"/>
      <c r="H146" s="175"/>
      <c r="I146" s="159"/>
      <c r="J146" s="202"/>
      <c r="K146" s="12"/>
    </row>
    <row r="147" spans="2:11" x14ac:dyDescent="0.25">
      <c r="B147" s="181"/>
      <c r="C147" s="204" t="s">
        <v>42</v>
      </c>
      <c r="D147" s="205">
        <v>1.8</v>
      </c>
      <c r="E147" s="178">
        <v>1.7</v>
      </c>
      <c r="F147" s="206">
        <v>29</v>
      </c>
      <c r="G147" s="178"/>
      <c r="H147" s="6"/>
      <c r="I147" s="159"/>
      <c r="J147" s="202"/>
      <c r="K147" s="12"/>
    </row>
    <row r="148" spans="2:11" x14ac:dyDescent="0.25">
      <c r="B148" s="181"/>
      <c r="C148" s="57" t="s">
        <v>50</v>
      </c>
      <c r="D148" s="58">
        <f>'Fwy &amp; Tee Quantities '!C38</f>
        <v>9</v>
      </c>
      <c r="E148" s="59">
        <v>1.7</v>
      </c>
      <c r="F148" s="60">
        <v>29</v>
      </c>
      <c r="G148" s="59" t="s">
        <v>51</v>
      </c>
      <c r="H148" s="6"/>
      <c r="I148" s="128"/>
      <c r="J148" s="129"/>
      <c r="K148" s="12"/>
    </row>
    <row r="149" spans="2:11" x14ac:dyDescent="0.25">
      <c r="B149" s="207"/>
      <c r="C149" s="57" t="s">
        <v>14</v>
      </c>
      <c r="D149" s="58">
        <f>'Fwy &amp; Tee Quantities '!C22</f>
        <v>0.37</v>
      </c>
      <c r="E149" s="59">
        <v>1.7</v>
      </c>
      <c r="F149" s="60">
        <v>29</v>
      </c>
      <c r="G149" s="182" t="s">
        <v>15</v>
      </c>
      <c r="H149" s="6"/>
      <c r="I149" s="128"/>
      <c r="J149" s="129"/>
      <c r="K149" s="12"/>
    </row>
    <row r="150" spans="2:11" x14ac:dyDescent="0.25">
      <c r="B150" s="207"/>
      <c r="C150" s="57" t="s">
        <v>52</v>
      </c>
      <c r="D150" s="58">
        <f>'Fwy &amp; Tee Quantities '!C36</f>
        <v>6</v>
      </c>
      <c r="E150" s="59">
        <v>1.7</v>
      </c>
      <c r="F150" s="60">
        <v>29</v>
      </c>
      <c r="G150" s="61" t="s">
        <v>53</v>
      </c>
      <c r="H150" s="6"/>
      <c r="I150" s="128"/>
      <c r="J150" s="129"/>
      <c r="K150" s="12" t="s">
        <v>54</v>
      </c>
    </row>
    <row r="151" spans="2:11" x14ac:dyDescent="0.25">
      <c r="B151" s="181"/>
      <c r="C151" s="902" t="s">
        <v>43</v>
      </c>
      <c r="D151" s="63">
        <f>'Fwy &amp; Tee Quantities '!C31</f>
        <v>3.5</v>
      </c>
      <c r="E151" s="64">
        <v>1.7</v>
      </c>
      <c r="F151" s="65">
        <v>29</v>
      </c>
      <c r="G151" s="66" t="s">
        <v>44</v>
      </c>
      <c r="H151" s="131"/>
      <c r="I151" s="128"/>
      <c r="J151" s="129"/>
      <c r="K151" s="12"/>
    </row>
    <row r="152" spans="2:11" x14ac:dyDescent="0.25">
      <c r="B152" s="12"/>
      <c r="C152" s="211"/>
      <c r="D152" s="185"/>
      <c r="E152" s="186"/>
      <c r="F152" s="208"/>
      <c r="G152" s="209"/>
      <c r="H152" s="925"/>
      <c r="I152" s="186"/>
      <c r="J152" s="189"/>
      <c r="K152" s="12"/>
    </row>
    <row r="153" spans="2:11" x14ac:dyDescent="0.25">
      <c r="B153" s="95">
        <v>46244</v>
      </c>
      <c r="C153" s="210" t="s">
        <v>32</v>
      </c>
      <c r="D153" s="140">
        <f>'Fwy &amp; Tee Quantities '!C41</f>
        <v>4</v>
      </c>
      <c r="E153" s="141">
        <v>1.7</v>
      </c>
      <c r="F153" s="142">
        <v>29</v>
      </c>
      <c r="G153" s="1014"/>
      <c r="H153" s="161"/>
      <c r="I153" s="191"/>
      <c r="J153" s="24"/>
      <c r="K153" s="12"/>
    </row>
    <row r="154" spans="2:11" x14ac:dyDescent="0.25">
      <c r="B154" s="12"/>
      <c r="C154" s="210" t="s">
        <v>63</v>
      </c>
      <c r="D154" s="140">
        <v>0.5</v>
      </c>
      <c r="E154" s="141">
        <v>1.7</v>
      </c>
      <c r="F154" s="142">
        <v>29</v>
      </c>
      <c r="G154" s="1014"/>
      <c r="H154" s="161"/>
      <c r="I154" s="191"/>
      <c r="J154" s="24"/>
      <c r="K154" s="12"/>
    </row>
    <row r="155" spans="2:11" x14ac:dyDescent="0.25">
      <c r="B155" s="12"/>
      <c r="C155" s="920" t="s">
        <v>64</v>
      </c>
      <c r="D155" s="156">
        <v>0.73499999999999999</v>
      </c>
      <c r="E155" s="156">
        <v>1.7</v>
      </c>
      <c r="F155" s="156">
        <v>29</v>
      </c>
      <c r="G155" s="156" t="s">
        <v>65</v>
      </c>
      <c r="H155" s="99"/>
      <c r="I155" s="19"/>
      <c r="J155" s="24"/>
      <c r="K155" s="12"/>
    </row>
    <row r="156" spans="2:11" x14ac:dyDescent="0.25">
      <c r="B156" s="12"/>
      <c r="C156" s="211"/>
      <c r="D156" s="185"/>
      <c r="E156" s="186"/>
      <c r="F156" s="187"/>
      <c r="G156" s="186"/>
      <c r="H156" s="188"/>
      <c r="I156" s="186"/>
      <c r="J156" s="189"/>
      <c r="K156" s="12"/>
    </row>
    <row r="157" spans="2:11" x14ac:dyDescent="0.25">
      <c r="B157" s="95">
        <v>46249</v>
      </c>
      <c r="C157" s="155" t="s">
        <v>21</v>
      </c>
      <c r="D157" s="15">
        <f>'Fwy &amp; Tee Quantities '!C4</f>
        <v>0.5</v>
      </c>
      <c r="E157" s="16">
        <v>1.7</v>
      </c>
      <c r="F157" s="16">
        <v>29</v>
      </c>
      <c r="G157" s="16" t="s">
        <v>22</v>
      </c>
      <c r="H157" s="39"/>
      <c r="I157" s="96" t="s">
        <v>66</v>
      </c>
      <c r="J157" s="24">
        <v>29</v>
      </c>
      <c r="K157" s="12"/>
    </row>
    <row r="158" spans="2:11" x14ac:dyDescent="0.25">
      <c r="B158" s="12"/>
      <c r="C158" s="155" t="s">
        <v>84</v>
      </c>
      <c r="D158" s="15">
        <f>'Fwy &amp; Tee Quantities '!C17</f>
        <v>6</v>
      </c>
      <c r="E158" s="16">
        <v>1.7</v>
      </c>
      <c r="F158" s="16">
        <v>29</v>
      </c>
      <c r="G158" s="16" t="s">
        <v>85</v>
      </c>
      <c r="H158" s="174"/>
      <c r="I158" s="19"/>
      <c r="J158" s="24"/>
      <c r="K158" s="12"/>
    </row>
    <row r="159" spans="2:11" x14ac:dyDescent="0.25">
      <c r="B159" s="73"/>
      <c r="C159" s="170" t="s">
        <v>27</v>
      </c>
      <c r="D159" s="171">
        <v>6.5000000000000002E-2</v>
      </c>
      <c r="E159" s="172">
        <v>1.7</v>
      </c>
      <c r="F159" s="23">
        <v>29</v>
      </c>
      <c r="G159" s="128"/>
      <c r="H159" s="6"/>
      <c r="I159" s="128"/>
      <c r="J159" s="129"/>
      <c r="K159" s="12"/>
    </row>
    <row r="160" spans="2:11" x14ac:dyDescent="0.25">
      <c r="B160" s="6"/>
      <c r="C160" s="170" t="s">
        <v>28</v>
      </c>
      <c r="D160" s="171">
        <v>0.54</v>
      </c>
      <c r="E160" s="172">
        <v>1.7</v>
      </c>
      <c r="F160" s="23">
        <v>29</v>
      </c>
      <c r="G160" s="128"/>
      <c r="H160" s="6"/>
      <c r="I160" s="128"/>
      <c r="J160" s="129"/>
      <c r="K160" s="12"/>
    </row>
    <row r="161" spans="2:11" x14ac:dyDescent="0.25">
      <c r="B161" s="6"/>
      <c r="C161" s="170" t="s">
        <v>29</v>
      </c>
      <c r="D161" s="171">
        <v>1.8</v>
      </c>
      <c r="E161" s="172">
        <v>1.7</v>
      </c>
      <c r="F161" s="23">
        <v>29</v>
      </c>
      <c r="G161" s="128"/>
      <c r="H161" s="6"/>
      <c r="I161" s="128"/>
      <c r="J161" s="129"/>
      <c r="K161" s="12"/>
    </row>
    <row r="162" spans="2:11" x14ac:dyDescent="0.25">
      <c r="B162" s="6"/>
      <c r="C162" s="170" t="s">
        <v>30</v>
      </c>
      <c r="D162" s="171">
        <v>1.8</v>
      </c>
      <c r="E162" s="172">
        <v>1.7</v>
      </c>
      <c r="F162" s="23">
        <v>29</v>
      </c>
      <c r="G162" s="128"/>
      <c r="H162" s="6"/>
      <c r="I162" s="128"/>
      <c r="J162" s="129"/>
      <c r="K162" s="12"/>
    </row>
    <row r="163" spans="2:11" x14ac:dyDescent="0.25">
      <c r="B163" s="6"/>
      <c r="C163" s="170" t="s">
        <v>31</v>
      </c>
      <c r="D163" s="171">
        <v>0.73</v>
      </c>
      <c r="E163" s="172">
        <v>1.7</v>
      </c>
      <c r="F163" s="23">
        <v>29</v>
      </c>
      <c r="G163" s="128"/>
      <c r="H163" s="6"/>
      <c r="I163" s="128"/>
      <c r="J163" s="129"/>
      <c r="K163" s="12"/>
    </row>
    <row r="164" spans="2:11" x14ac:dyDescent="0.25">
      <c r="B164" s="30"/>
      <c r="C164" s="176" t="s">
        <v>42</v>
      </c>
      <c r="D164" s="177">
        <v>1.8</v>
      </c>
      <c r="E164" s="178">
        <v>1.7</v>
      </c>
      <c r="F164" s="206">
        <v>29</v>
      </c>
      <c r="G164" s="178"/>
      <c r="H164" s="6"/>
      <c r="I164" s="128"/>
      <c r="J164" s="129"/>
      <c r="K164" s="12"/>
    </row>
    <row r="165" spans="2:11" x14ac:dyDescent="0.25">
      <c r="B165" s="161"/>
      <c r="C165" s="57" t="s">
        <v>50</v>
      </c>
      <c r="D165" s="58">
        <f>'Fwy &amp; Tee Quantities '!C38</f>
        <v>9</v>
      </c>
      <c r="E165" s="59">
        <v>1.7</v>
      </c>
      <c r="F165" s="130">
        <v>29</v>
      </c>
      <c r="G165" s="61" t="s">
        <v>51</v>
      </c>
      <c r="H165" s="6"/>
      <c r="I165" s="128"/>
      <c r="J165" s="129"/>
      <c r="K165" s="12"/>
    </row>
    <row r="166" spans="2:11" x14ac:dyDescent="0.25">
      <c r="B166" s="335"/>
      <c r="C166" s="57" t="s">
        <v>14</v>
      </c>
      <c r="D166" s="58">
        <f>'Fwy &amp; Tee Quantities '!C22</f>
        <v>0.37</v>
      </c>
      <c r="E166" s="59">
        <v>1.7</v>
      </c>
      <c r="F166" s="60">
        <v>29</v>
      </c>
      <c r="G166" s="182" t="s">
        <v>15</v>
      </c>
      <c r="H166" s="131"/>
      <c r="I166" s="128"/>
      <c r="J166" s="129"/>
      <c r="K166" s="12"/>
    </row>
    <row r="167" spans="2:11" x14ac:dyDescent="0.25">
      <c r="B167" s="335"/>
      <c r="C167" s="57" t="s">
        <v>52</v>
      </c>
      <c r="D167" s="58">
        <f>'Fwy &amp; Tee Quantities '!C36</f>
        <v>6</v>
      </c>
      <c r="E167" s="59">
        <v>1.7</v>
      </c>
      <c r="F167" s="130">
        <v>29</v>
      </c>
      <c r="G167" s="59" t="s">
        <v>53</v>
      </c>
      <c r="H167" s="131"/>
      <c r="I167" s="128"/>
      <c r="J167" s="129"/>
      <c r="K167" s="12" t="s">
        <v>54</v>
      </c>
    </row>
    <row r="168" spans="2:11" x14ac:dyDescent="0.25">
      <c r="B168" s="6"/>
      <c r="C168" s="902" t="s">
        <v>43</v>
      </c>
      <c r="D168" s="63">
        <f>'Fwy &amp; Tee Quantities '!C31</f>
        <v>3.5</v>
      </c>
      <c r="E168" s="64">
        <v>1.7</v>
      </c>
      <c r="F168" s="65">
        <v>29</v>
      </c>
      <c r="G168" s="105" t="s">
        <v>44</v>
      </c>
      <c r="H168" s="6"/>
      <c r="I168" s="128"/>
      <c r="J168" s="129"/>
      <c r="K168" s="12"/>
    </row>
    <row r="169" spans="2:11" x14ac:dyDescent="0.25">
      <c r="B169" s="6"/>
      <c r="C169" s="903"/>
      <c r="D169" s="892"/>
      <c r="E169" s="893"/>
      <c r="F169" s="904"/>
      <c r="G169" s="905"/>
      <c r="H169" s="906"/>
      <c r="I169" s="893"/>
      <c r="J169" s="907"/>
      <c r="K169" s="12"/>
    </row>
    <row r="170" spans="2:11" x14ac:dyDescent="0.25">
      <c r="B170" s="13">
        <v>46259</v>
      </c>
      <c r="C170" s="155" t="s">
        <v>39</v>
      </c>
      <c r="D170" s="192">
        <v>1.8</v>
      </c>
      <c r="E170" s="192">
        <v>1.7</v>
      </c>
      <c r="F170" s="192">
        <v>29</v>
      </c>
      <c r="G170" s="192" t="s">
        <v>40</v>
      </c>
      <c r="H170" s="131"/>
      <c r="I170" s="128"/>
      <c r="J170" s="129"/>
      <c r="K170" s="12"/>
    </row>
    <row r="171" spans="2:11" x14ac:dyDescent="0.25">
      <c r="B171" s="6"/>
      <c r="C171" s="155" t="s">
        <v>86</v>
      </c>
      <c r="D171" s="192">
        <v>2.4</v>
      </c>
      <c r="E171" s="192">
        <v>1.7</v>
      </c>
      <c r="F171" s="192">
        <v>29</v>
      </c>
      <c r="G171" s="192" t="s">
        <v>87</v>
      </c>
      <c r="H171" s="131"/>
      <c r="I171" s="128"/>
      <c r="J171" s="129"/>
      <c r="K171" s="12"/>
    </row>
    <row r="172" spans="2:11" x14ac:dyDescent="0.25">
      <c r="B172" s="6"/>
      <c r="C172" s="909" t="s">
        <v>27</v>
      </c>
      <c r="D172" s="910">
        <v>6.5000000000000002E-2</v>
      </c>
      <c r="E172" s="23">
        <v>1.7</v>
      </c>
      <c r="F172" s="23">
        <v>29</v>
      </c>
      <c r="G172" s="23"/>
      <c r="H172" s="131"/>
      <c r="I172" s="128"/>
      <c r="J172" s="129"/>
      <c r="K172" s="12"/>
    </row>
    <row r="173" spans="2:11" x14ac:dyDescent="0.25">
      <c r="B173" s="6"/>
      <c r="C173" s="911" t="s">
        <v>41</v>
      </c>
      <c r="D173" s="912">
        <v>0.54</v>
      </c>
      <c r="E173" s="913">
        <v>1.7</v>
      </c>
      <c r="F173" s="23">
        <v>29</v>
      </c>
      <c r="G173" s="914"/>
      <c r="H173" s="131"/>
      <c r="I173" s="128"/>
      <c r="J173" s="129"/>
      <c r="K173" s="12"/>
    </row>
    <row r="174" spans="2:11" x14ac:dyDescent="0.25">
      <c r="B174" s="6"/>
      <c r="C174" s="911" t="s">
        <v>29</v>
      </c>
      <c r="D174" s="912">
        <v>1.8</v>
      </c>
      <c r="E174" s="913">
        <v>1.7</v>
      </c>
      <c r="F174" s="23">
        <v>29</v>
      </c>
      <c r="G174" s="913"/>
      <c r="H174" s="131"/>
      <c r="I174" s="128"/>
      <c r="J174" s="129"/>
      <c r="K174" s="12"/>
    </row>
    <row r="175" spans="2:11" x14ac:dyDescent="0.25">
      <c r="B175" s="6"/>
      <c r="C175" s="911" t="s">
        <v>30</v>
      </c>
      <c r="D175" s="912">
        <v>1.8</v>
      </c>
      <c r="E175" s="913">
        <v>1.7</v>
      </c>
      <c r="F175" s="23">
        <v>29</v>
      </c>
      <c r="G175" s="913"/>
      <c r="H175" s="131"/>
      <c r="I175" s="128"/>
      <c r="J175" s="129"/>
      <c r="K175" s="12"/>
    </row>
    <row r="176" spans="2:11" x14ac:dyDescent="0.25">
      <c r="B176" s="6"/>
      <c r="C176" s="911" t="s">
        <v>31</v>
      </c>
      <c r="D176" s="912">
        <v>0.73</v>
      </c>
      <c r="E176" s="913">
        <v>1.7</v>
      </c>
      <c r="F176" s="23">
        <v>29</v>
      </c>
      <c r="G176" s="913"/>
      <c r="H176" s="131"/>
      <c r="I176" s="128"/>
      <c r="J176" s="129"/>
      <c r="K176" s="12"/>
    </row>
    <row r="177" spans="2:11" x14ac:dyDescent="0.25">
      <c r="B177" s="6"/>
      <c r="C177" s="915" t="s">
        <v>42</v>
      </c>
      <c r="D177" s="916">
        <v>1.8</v>
      </c>
      <c r="E177" s="206">
        <v>1.7</v>
      </c>
      <c r="F177" s="206">
        <v>29</v>
      </c>
      <c r="G177" s="23"/>
      <c r="H177" s="131"/>
      <c r="I177" s="128"/>
      <c r="J177" s="129"/>
      <c r="K177" s="12"/>
    </row>
    <row r="178" spans="2:11" x14ac:dyDescent="0.25">
      <c r="B178" s="6"/>
      <c r="C178" s="1114" t="s">
        <v>50</v>
      </c>
      <c r="D178" s="1115">
        <f>'Fwy &amp; Tee Quantities '!C38</f>
        <v>9</v>
      </c>
      <c r="E178" s="60">
        <v>1.7</v>
      </c>
      <c r="F178" s="60">
        <v>29</v>
      </c>
      <c r="G178" s="60" t="s">
        <v>51</v>
      </c>
      <c r="H178" s="131"/>
      <c r="I178" s="128"/>
      <c r="J178" s="129"/>
      <c r="K178" s="12"/>
    </row>
    <row r="179" spans="2:11" x14ac:dyDescent="0.25">
      <c r="B179" s="6"/>
      <c r="C179" s="1114" t="s">
        <v>14</v>
      </c>
      <c r="D179" s="1115">
        <f>'Fwy &amp; Tee Quantities '!C22</f>
        <v>0.37</v>
      </c>
      <c r="E179" s="60">
        <v>1.7</v>
      </c>
      <c r="F179" s="60">
        <v>29</v>
      </c>
      <c r="G179" s="1116" t="s">
        <v>15</v>
      </c>
      <c r="H179" s="131"/>
      <c r="I179" s="128"/>
      <c r="J179" s="129"/>
      <c r="K179" s="12"/>
    </row>
    <row r="180" spans="2:11" x14ac:dyDescent="0.25">
      <c r="B180" s="6"/>
      <c r="C180" s="1114" t="s">
        <v>52</v>
      </c>
      <c r="D180" s="1115">
        <f>'Fwy &amp; Tee Quantities '!C36</f>
        <v>6</v>
      </c>
      <c r="E180" s="60">
        <v>1.7</v>
      </c>
      <c r="F180" s="60">
        <v>29</v>
      </c>
      <c r="G180" s="130" t="s">
        <v>53</v>
      </c>
      <c r="H180" s="131"/>
      <c r="I180" s="128"/>
      <c r="J180" s="129"/>
      <c r="K180" s="12"/>
    </row>
    <row r="181" spans="2:11" x14ac:dyDescent="0.25">
      <c r="B181" s="12"/>
      <c r="C181" s="908"/>
      <c r="D181" s="900"/>
      <c r="E181" s="187"/>
      <c r="F181" s="187"/>
      <c r="G181" s="208"/>
      <c r="H181" s="188"/>
      <c r="I181" s="186"/>
      <c r="J181" s="189"/>
      <c r="K181" s="12"/>
    </row>
    <row r="182" spans="2:11" x14ac:dyDescent="0.25">
      <c r="B182" s="901">
        <v>46265</v>
      </c>
      <c r="C182" s="212" t="s">
        <v>71</v>
      </c>
      <c r="D182" s="215">
        <f>'Fwy &amp; Tee Quantities '!C15</f>
        <v>0.7</v>
      </c>
      <c r="E182" s="215">
        <v>1.7</v>
      </c>
      <c r="F182" s="215">
        <v>29</v>
      </c>
      <c r="G182" s="215"/>
      <c r="H182" s="19" t="s">
        <v>72</v>
      </c>
      <c r="I182" s="1058"/>
      <c r="J182" s="24">
        <v>7</v>
      </c>
      <c r="K182" s="12"/>
    </row>
    <row r="183" spans="2:11" x14ac:dyDescent="0.25">
      <c r="B183" s="13"/>
      <c r="C183" s="213" t="s">
        <v>27</v>
      </c>
      <c r="D183" s="37">
        <v>6.5000000000000002E-2</v>
      </c>
      <c r="E183" s="38">
        <v>1.7</v>
      </c>
      <c r="F183" s="23">
        <v>29</v>
      </c>
      <c r="G183" s="38"/>
      <c r="H183" s="39"/>
      <c r="I183" s="19"/>
      <c r="J183" s="24"/>
      <c r="K183" s="12"/>
    </row>
    <row r="184" spans="2:11" x14ac:dyDescent="0.25">
      <c r="B184" s="118"/>
      <c r="C184" s="200" t="s">
        <v>41</v>
      </c>
      <c r="D184" s="127">
        <v>0.54</v>
      </c>
      <c r="E184" s="159">
        <v>1.7</v>
      </c>
      <c r="F184" s="23">
        <v>29</v>
      </c>
      <c r="G184" s="203"/>
      <c r="H184" s="6"/>
      <c r="I184" s="128"/>
      <c r="J184" s="129"/>
      <c r="K184" s="12"/>
    </row>
    <row r="185" spans="2:11" x14ac:dyDescent="0.25">
      <c r="B185" s="6"/>
      <c r="C185" s="200" t="s">
        <v>29</v>
      </c>
      <c r="D185" s="127">
        <v>1.8</v>
      </c>
      <c r="E185" s="159">
        <v>1.7</v>
      </c>
      <c r="F185" s="23">
        <v>29</v>
      </c>
      <c r="G185" s="159"/>
      <c r="H185" s="6"/>
      <c r="I185" s="128"/>
      <c r="J185" s="129"/>
      <c r="K185" s="12"/>
    </row>
    <row r="186" spans="2:11" x14ac:dyDescent="0.25">
      <c r="B186" s="6"/>
      <c r="C186" s="200" t="s">
        <v>30</v>
      </c>
      <c r="D186" s="127">
        <v>1.8</v>
      </c>
      <c r="E186" s="159">
        <v>1.7</v>
      </c>
      <c r="F186" s="23">
        <v>29</v>
      </c>
      <c r="G186" s="159"/>
      <c r="H186" s="6"/>
      <c r="I186" s="128"/>
      <c r="J186" s="129"/>
      <c r="K186" s="12"/>
    </row>
    <row r="187" spans="2:11" x14ac:dyDescent="0.25">
      <c r="B187" s="6"/>
      <c r="C187" s="200" t="s">
        <v>31</v>
      </c>
      <c r="D187" s="127">
        <v>0.73</v>
      </c>
      <c r="E187" s="159">
        <v>1.7</v>
      </c>
      <c r="F187" s="23">
        <v>29</v>
      </c>
      <c r="G187" s="159"/>
      <c r="H187" s="6"/>
      <c r="I187" s="128"/>
      <c r="J187" s="129"/>
      <c r="K187" s="12"/>
    </row>
    <row r="188" spans="2:11" x14ac:dyDescent="0.25">
      <c r="B188" s="30"/>
      <c r="C188" s="204" t="s">
        <v>42</v>
      </c>
      <c r="D188" s="205">
        <v>1.8</v>
      </c>
      <c r="E188" s="178">
        <v>1.7</v>
      </c>
      <c r="F188" s="206">
        <v>29</v>
      </c>
      <c r="G188" s="178"/>
      <c r="H188" s="6"/>
      <c r="I188" s="128"/>
      <c r="J188" s="129"/>
      <c r="K188" s="12"/>
    </row>
    <row r="189" spans="2:11" x14ac:dyDescent="0.25">
      <c r="B189" s="6"/>
      <c r="C189" s="1118" t="s">
        <v>50</v>
      </c>
      <c r="D189" s="1115">
        <f>'Fwy &amp; Tee Quantities '!C38</f>
        <v>9</v>
      </c>
      <c r="E189" s="60">
        <v>1.7</v>
      </c>
      <c r="F189" s="60">
        <v>29</v>
      </c>
      <c r="G189" s="60" t="s">
        <v>51</v>
      </c>
      <c r="H189" s="30"/>
      <c r="I189" s="949"/>
      <c r="J189" s="1117"/>
      <c r="K189" s="222"/>
    </row>
    <row r="190" spans="2:11" x14ac:dyDescent="0.25">
      <c r="B190" s="6"/>
      <c r="C190" s="1118" t="s">
        <v>14</v>
      </c>
      <c r="D190" s="1115">
        <f>'Fwy &amp; Tee Quantities '!C22</f>
        <v>0.37</v>
      </c>
      <c r="E190" s="60">
        <v>1.7</v>
      </c>
      <c r="F190" s="60">
        <v>29</v>
      </c>
      <c r="G190" s="1116" t="s">
        <v>15</v>
      </c>
      <c r="H190" s="30"/>
      <c r="I190" s="949"/>
      <c r="J190" s="1117"/>
      <c r="K190" s="222"/>
    </row>
    <row r="191" spans="2:11" x14ac:dyDescent="0.25">
      <c r="B191" s="6"/>
      <c r="C191" s="1118" t="s">
        <v>52</v>
      </c>
      <c r="D191" s="1115">
        <f>'Fwy &amp; Tee Quantities '!C36</f>
        <v>6</v>
      </c>
      <c r="E191" s="60">
        <v>1.7</v>
      </c>
      <c r="F191" s="60">
        <v>29</v>
      </c>
      <c r="G191" s="130" t="s">
        <v>53</v>
      </c>
      <c r="H191" s="30"/>
      <c r="I191" s="949"/>
      <c r="J191" s="1117"/>
      <c r="K191" s="222"/>
    </row>
    <row r="192" spans="2:11" x14ac:dyDescent="0.25">
      <c r="B192" s="917"/>
      <c r="C192" s="899"/>
      <c r="D192" s="922"/>
      <c r="E192" s="190"/>
      <c r="F192" s="923"/>
      <c r="G192" s="924"/>
      <c r="H192" s="925"/>
      <c r="I192" s="190"/>
      <c r="J192" s="226"/>
      <c r="K192" s="926"/>
    </row>
    <row r="193" spans="2:11" x14ac:dyDescent="0.25">
      <c r="B193" s="931">
        <v>46272</v>
      </c>
      <c r="C193" s="930" t="s">
        <v>32</v>
      </c>
      <c r="D193" s="142">
        <v>4</v>
      </c>
      <c r="E193" s="142">
        <v>1.7</v>
      </c>
      <c r="F193" s="142">
        <v>29</v>
      </c>
      <c r="G193" s="142"/>
      <c r="H193" s="39"/>
      <c r="I193" s="19"/>
      <c r="J193" s="19"/>
      <c r="K193" s="12"/>
    </row>
    <row r="194" spans="2:11" x14ac:dyDescent="0.25">
      <c r="B194" s="222"/>
      <c r="C194" s="930" t="s">
        <v>63</v>
      </c>
      <c r="D194" s="142">
        <v>0.5</v>
      </c>
      <c r="E194" s="142">
        <v>1.7</v>
      </c>
      <c r="F194" s="142">
        <v>29</v>
      </c>
      <c r="G194" s="142"/>
      <c r="H194" s="39"/>
      <c r="I194" s="19"/>
      <c r="J194" s="19"/>
      <c r="K194" s="12"/>
    </row>
    <row r="195" spans="2:11" x14ac:dyDescent="0.25">
      <c r="B195" s="12"/>
      <c r="C195" s="927"/>
      <c r="D195" s="928"/>
      <c r="E195" s="209"/>
      <c r="F195" s="208"/>
      <c r="G195" s="209"/>
      <c r="H195" s="163"/>
      <c r="I195" s="209"/>
      <c r="J195" s="929"/>
      <c r="K195" s="123"/>
    </row>
    <row r="196" spans="2:11" x14ac:dyDescent="0.25">
      <c r="B196" s="73">
        <v>46273</v>
      </c>
      <c r="C196" s="932" t="s">
        <v>21</v>
      </c>
      <c r="D196" s="214">
        <f>'Fwy &amp; Tee Quantities '!C4</f>
        <v>0.5</v>
      </c>
      <c r="E196" s="215">
        <v>1.7</v>
      </c>
      <c r="F196" s="26">
        <v>29</v>
      </c>
      <c r="G196" s="215" t="s">
        <v>22</v>
      </c>
      <c r="H196" s="216"/>
      <c r="I196" s="103"/>
      <c r="J196" s="217"/>
      <c r="K196" s="12"/>
    </row>
    <row r="197" spans="2:11" x14ac:dyDescent="0.25">
      <c r="B197" s="918"/>
      <c r="C197" s="170" t="s">
        <v>27</v>
      </c>
      <c r="D197" s="171">
        <v>6.5000000000000002E-2</v>
      </c>
      <c r="E197" s="172">
        <v>1.7</v>
      </c>
      <c r="F197" s="23">
        <v>29</v>
      </c>
      <c r="G197" s="172"/>
      <c r="H197" s="218"/>
      <c r="I197" s="172"/>
      <c r="J197" s="165"/>
      <c r="K197" s="12"/>
    </row>
    <row r="198" spans="2:11" x14ac:dyDescent="0.25">
      <c r="B198" s="13"/>
      <c r="C198" s="170" t="s">
        <v>28</v>
      </c>
      <c r="D198" s="171">
        <v>0.54</v>
      </c>
      <c r="E198" s="172">
        <v>1.7</v>
      </c>
      <c r="F198" s="23">
        <v>29</v>
      </c>
      <c r="G198" s="173"/>
      <c r="H198" s="174"/>
      <c r="I198" s="172"/>
      <c r="J198" s="165"/>
      <c r="K198" s="12"/>
    </row>
    <row r="199" spans="2:11" x14ac:dyDescent="0.25">
      <c r="B199" s="219"/>
      <c r="C199" s="170" t="s">
        <v>29</v>
      </c>
      <c r="D199" s="171">
        <v>1.8</v>
      </c>
      <c r="E199" s="172">
        <v>1.7</v>
      </c>
      <c r="F199" s="23">
        <v>29</v>
      </c>
      <c r="G199" s="172"/>
      <c r="H199" s="174"/>
      <c r="I199" s="172"/>
      <c r="J199" s="165"/>
      <c r="K199" s="12"/>
    </row>
    <row r="200" spans="2:11" x14ac:dyDescent="0.25">
      <c r="B200" s="219"/>
      <c r="C200" s="170" t="s">
        <v>30</v>
      </c>
      <c r="D200" s="171">
        <v>1.8</v>
      </c>
      <c r="E200" s="172">
        <v>1.7</v>
      </c>
      <c r="F200" s="23">
        <v>29</v>
      </c>
      <c r="G200" s="172"/>
      <c r="H200" s="174"/>
      <c r="I200" s="172"/>
      <c r="J200" s="165"/>
      <c r="K200" s="12"/>
    </row>
    <row r="201" spans="2:11" x14ac:dyDescent="0.25">
      <c r="B201" s="219"/>
      <c r="C201" s="170" t="s">
        <v>31</v>
      </c>
      <c r="D201" s="171">
        <v>0.73</v>
      </c>
      <c r="E201" s="172">
        <v>1.7</v>
      </c>
      <c r="F201" s="23">
        <v>29</v>
      </c>
      <c r="G201" s="172"/>
      <c r="H201" s="99"/>
      <c r="I201" s="172"/>
      <c r="J201" s="165"/>
      <c r="K201" s="12"/>
    </row>
    <row r="202" spans="2:11" x14ac:dyDescent="0.25">
      <c r="B202" s="858"/>
      <c r="C202" s="176" t="s">
        <v>42</v>
      </c>
      <c r="D202" s="177">
        <v>1.8</v>
      </c>
      <c r="E202" s="178">
        <v>1.7</v>
      </c>
      <c r="F202" s="179">
        <v>29</v>
      </c>
      <c r="G202" s="180"/>
      <c r="H202" s="175"/>
      <c r="I202" s="38"/>
      <c r="J202" s="165"/>
      <c r="K202" s="12"/>
    </row>
    <row r="203" spans="2:11" x14ac:dyDescent="0.25">
      <c r="B203" s="858"/>
      <c r="C203" s="1114" t="s">
        <v>50</v>
      </c>
      <c r="D203" s="1115">
        <f>'Fwy &amp; Tee Quantities '!C38</f>
        <v>9</v>
      </c>
      <c r="E203" s="60">
        <v>1.7</v>
      </c>
      <c r="F203" s="60">
        <v>29</v>
      </c>
      <c r="G203" s="60" t="s">
        <v>51</v>
      </c>
      <c r="H203" s="175"/>
      <c r="I203" s="1112"/>
      <c r="J203" s="1113"/>
      <c r="K203" s="12"/>
    </row>
    <row r="204" spans="2:11" x14ac:dyDescent="0.25">
      <c r="B204" s="858"/>
      <c r="C204" s="1114" t="s">
        <v>14</v>
      </c>
      <c r="D204" s="1115">
        <f>'Fwy &amp; Tee Quantities '!C22</f>
        <v>0.37</v>
      </c>
      <c r="E204" s="60">
        <v>1.7</v>
      </c>
      <c r="F204" s="60">
        <v>29</v>
      </c>
      <c r="G204" s="1116" t="s">
        <v>15</v>
      </c>
      <c r="H204" s="175"/>
      <c r="I204" s="1112"/>
      <c r="J204" s="1113"/>
      <c r="K204" s="12"/>
    </row>
    <row r="205" spans="2:11" x14ac:dyDescent="0.25">
      <c r="B205" s="858"/>
      <c r="C205" s="1114" t="s">
        <v>52</v>
      </c>
      <c r="D205" s="1115">
        <f>'Fwy &amp; Tee Quantities '!C36</f>
        <v>6</v>
      </c>
      <c r="E205" s="60">
        <v>1.7</v>
      </c>
      <c r="F205" s="60">
        <v>29</v>
      </c>
      <c r="G205" s="130" t="s">
        <v>53</v>
      </c>
      <c r="H205" s="175"/>
      <c r="I205" s="1112"/>
      <c r="J205" s="1113"/>
      <c r="K205" s="12"/>
    </row>
    <row r="206" spans="2:11" x14ac:dyDescent="0.25">
      <c r="B206" s="12"/>
      <c r="C206" s="902" t="s">
        <v>55</v>
      </c>
      <c r="D206" s="63">
        <f>'Fwy &amp; Tee Quantities '!C32</f>
        <v>0.75</v>
      </c>
      <c r="E206" s="64">
        <v>1.7</v>
      </c>
      <c r="F206" s="65">
        <v>29</v>
      </c>
      <c r="G206" s="727" t="s">
        <v>56</v>
      </c>
      <c r="H206" s="174"/>
      <c r="I206" s="100"/>
      <c r="J206" s="229"/>
      <c r="K206" s="12"/>
    </row>
    <row r="207" spans="2:11" x14ac:dyDescent="0.25">
      <c r="B207" s="12"/>
      <c r="C207" s="211"/>
      <c r="D207" s="185"/>
      <c r="E207" s="186"/>
      <c r="F207" s="187"/>
      <c r="G207" s="186"/>
      <c r="H207" s="188"/>
      <c r="I207" s="186"/>
      <c r="J207" s="189"/>
      <c r="K207" s="12"/>
    </row>
    <row r="208" spans="2:11" x14ac:dyDescent="0.25">
      <c r="B208" s="220">
        <v>46287</v>
      </c>
      <c r="C208" s="221" t="s">
        <v>88</v>
      </c>
      <c r="D208" s="198">
        <f>'Fwy &amp; Tee Quantities '!C3</f>
        <v>2</v>
      </c>
      <c r="E208" s="195">
        <v>1.7</v>
      </c>
      <c r="F208" s="26">
        <v>29</v>
      </c>
      <c r="G208" s="195" t="s">
        <v>89</v>
      </c>
      <c r="H208" s="128" t="s">
        <v>18</v>
      </c>
      <c r="I208" s="196" t="s">
        <v>66</v>
      </c>
      <c r="J208" s="129">
        <v>3</v>
      </c>
      <c r="K208" s="12"/>
    </row>
    <row r="209" spans="2:11" x14ac:dyDescent="0.25">
      <c r="B209" s="12"/>
      <c r="C209" s="160" t="s">
        <v>27</v>
      </c>
      <c r="D209" s="171">
        <v>6.5000000000000002E-2</v>
      </c>
      <c r="E209" s="172">
        <v>1.7</v>
      </c>
      <c r="F209" s="23">
        <v>29</v>
      </c>
      <c r="G209" s="172"/>
      <c r="H209" s="201"/>
      <c r="I209" s="172"/>
      <c r="J209" s="165"/>
      <c r="K209" s="12"/>
    </row>
    <row r="210" spans="2:11" x14ac:dyDescent="0.25">
      <c r="B210" s="73"/>
      <c r="C210" s="170" t="s">
        <v>41</v>
      </c>
      <c r="D210" s="171">
        <v>0.54</v>
      </c>
      <c r="E210" s="172">
        <v>1.7</v>
      </c>
      <c r="F210" s="23">
        <v>29</v>
      </c>
      <c r="G210" s="173"/>
      <c r="H210" s="175"/>
      <c r="I210" s="172"/>
      <c r="J210" s="165"/>
      <c r="K210" s="12"/>
    </row>
    <row r="211" spans="2:11" x14ac:dyDescent="0.25">
      <c r="B211" s="181"/>
      <c r="C211" s="170" t="s">
        <v>29</v>
      </c>
      <c r="D211" s="171">
        <v>1.8</v>
      </c>
      <c r="E211" s="172">
        <v>1.7</v>
      </c>
      <c r="F211" s="23">
        <v>29</v>
      </c>
      <c r="G211" s="172"/>
      <c r="H211" s="175"/>
      <c r="I211" s="172"/>
      <c r="J211" s="165"/>
      <c r="K211" s="12"/>
    </row>
    <row r="212" spans="2:11" x14ac:dyDescent="0.25">
      <c r="B212" s="175"/>
      <c r="C212" s="170" t="s">
        <v>30</v>
      </c>
      <c r="D212" s="171">
        <v>1.8</v>
      </c>
      <c r="E212" s="172">
        <v>1.7</v>
      </c>
      <c r="F212" s="23">
        <v>29</v>
      </c>
      <c r="G212" s="172"/>
      <c r="H212" s="175"/>
      <c r="I212" s="172"/>
      <c r="J212" s="165"/>
      <c r="K212" s="12"/>
    </row>
    <row r="213" spans="2:11" x14ac:dyDescent="0.25">
      <c r="B213" s="181"/>
      <c r="C213" s="170" t="s">
        <v>31</v>
      </c>
      <c r="D213" s="171">
        <v>0.73</v>
      </c>
      <c r="E213" s="172">
        <v>1.7</v>
      </c>
      <c r="F213" s="23">
        <v>29</v>
      </c>
      <c r="G213" s="172"/>
      <c r="H213" s="223"/>
      <c r="I213" s="172"/>
      <c r="J213" s="165"/>
      <c r="K213" s="12"/>
    </row>
    <row r="214" spans="2:11" x14ac:dyDescent="0.25">
      <c r="B214" s="181"/>
      <c r="C214" s="176" t="s">
        <v>42</v>
      </c>
      <c r="D214" s="177">
        <v>1.8</v>
      </c>
      <c r="E214" s="178">
        <v>1.7</v>
      </c>
      <c r="F214" s="179">
        <v>29</v>
      </c>
      <c r="G214" s="180"/>
      <c r="H214" s="175"/>
      <c r="I214" s="38"/>
      <c r="J214" s="165"/>
      <c r="K214" s="12"/>
    </row>
    <row r="215" spans="2:11" x14ac:dyDescent="0.25">
      <c r="B215" s="181"/>
      <c r="C215" s="57" t="s">
        <v>50</v>
      </c>
      <c r="D215" s="58">
        <f>'Fwy &amp; Tee Quantities '!C38</f>
        <v>9</v>
      </c>
      <c r="E215" s="59">
        <v>1.7</v>
      </c>
      <c r="F215" s="60">
        <v>29</v>
      </c>
      <c r="G215" s="59" t="s">
        <v>51</v>
      </c>
      <c r="H215" s="6"/>
      <c r="I215" s="19"/>
      <c r="J215" s="24"/>
      <c r="K215" s="12"/>
    </row>
    <row r="216" spans="2:11" x14ac:dyDescent="0.25">
      <c r="B216" s="207"/>
      <c r="C216" s="57" t="s">
        <v>14</v>
      </c>
      <c r="D216" s="58">
        <f>'Fwy &amp; Tee Quantities '!C22</f>
        <v>0.37</v>
      </c>
      <c r="E216" s="59">
        <v>1.7</v>
      </c>
      <c r="F216" s="60">
        <v>29</v>
      </c>
      <c r="G216" s="182" t="s">
        <v>15</v>
      </c>
      <c r="H216" s="6"/>
      <c r="I216" s="19"/>
      <c r="J216" s="24"/>
      <c r="K216" s="12"/>
    </row>
    <row r="217" spans="2:11" x14ac:dyDescent="0.25">
      <c r="B217" s="207"/>
      <c r="C217" s="57" t="s">
        <v>52</v>
      </c>
      <c r="D217" s="58">
        <f>'Fwy &amp; Tee Quantities '!C36</f>
        <v>6</v>
      </c>
      <c r="E217" s="59">
        <v>1.7</v>
      </c>
      <c r="F217" s="60">
        <v>29</v>
      </c>
      <c r="G217" s="61" t="s">
        <v>53</v>
      </c>
      <c r="H217" s="6"/>
      <c r="I217" s="19"/>
      <c r="J217" s="24"/>
      <c r="K217" s="12" t="s">
        <v>54</v>
      </c>
    </row>
    <row r="218" spans="2:11" x14ac:dyDescent="0.25">
      <c r="B218" s="12"/>
      <c r="C218" s="902" t="s">
        <v>55</v>
      </c>
      <c r="D218" s="63">
        <f>'Fwy &amp; Tee Quantities '!C32</f>
        <v>0.75</v>
      </c>
      <c r="E218" s="64">
        <v>1.7</v>
      </c>
      <c r="F218" s="224">
        <v>29</v>
      </c>
      <c r="G218" s="64" t="s">
        <v>56</v>
      </c>
      <c r="H218" s="131"/>
      <c r="I218" s="19"/>
      <c r="J218" s="24"/>
      <c r="K218" s="12"/>
    </row>
    <row r="219" spans="2:11" x14ac:dyDescent="0.25">
      <c r="B219" s="919"/>
      <c r="C219" s="184"/>
      <c r="D219" s="185"/>
      <c r="E219" s="186"/>
      <c r="F219" s="187"/>
      <c r="G219" s="209"/>
      <c r="H219" s="188"/>
      <c r="I219" s="186"/>
      <c r="J219" s="189"/>
      <c r="K219" s="722"/>
    </row>
    <row r="220" spans="2:11" x14ac:dyDescent="0.25">
      <c r="B220" s="150">
        <v>46301</v>
      </c>
      <c r="C220" s="14" t="s">
        <v>90</v>
      </c>
      <c r="D220" s="15">
        <f>'Fwy &amp; Tee Quantities '!C19</f>
        <v>0.26</v>
      </c>
      <c r="E220" s="16">
        <v>1.7</v>
      </c>
      <c r="F220" s="16">
        <v>29</v>
      </c>
      <c r="G220" s="225" t="s">
        <v>91</v>
      </c>
      <c r="H220" s="19" t="s">
        <v>72</v>
      </c>
      <c r="I220" s="27" t="s">
        <v>92</v>
      </c>
      <c r="J220" s="24">
        <v>7</v>
      </c>
      <c r="K220" s="12"/>
    </row>
    <row r="221" spans="2:11" x14ac:dyDescent="0.25">
      <c r="B221" s="12"/>
      <c r="C221" s="160" t="s">
        <v>27</v>
      </c>
      <c r="D221" s="171">
        <v>6.5000000000000002E-2</v>
      </c>
      <c r="E221" s="172">
        <v>1.7</v>
      </c>
      <c r="F221" s="23">
        <v>29</v>
      </c>
      <c r="G221" s="172"/>
      <c r="H221" s="174"/>
      <c r="I221" s="172"/>
      <c r="J221" s="165"/>
      <c r="K221" s="12"/>
    </row>
    <row r="222" spans="2:11" x14ac:dyDescent="0.25">
      <c r="B222" s="73"/>
      <c r="C222" s="170" t="s">
        <v>28</v>
      </c>
      <c r="D222" s="171">
        <v>0.54</v>
      </c>
      <c r="E222" s="172">
        <v>1.7</v>
      </c>
      <c r="F222" s="23">
        <v>29</v>
      </c>
      <c r="G222" s="172"/>
      <c r="H222" s="174"/>
      <c r="I222" s="172"/>
      <c r="J222" s="165"/>
      <c r="K222" s="12"/>
    </row>
    <row r="223" spans="2:11" x14ac:dyDescent="0.25">
      <c r="B223" s="6"/>
      <c r="C223" s="170" t="s">
        <v>29</v>
      </c>
      <c r="D223" s="171">
        <v>1.8</v>
      </c>
      <c r="E223" s="172">
        <v>1.7</v>
      </c>
      <c r="F223" s="23">
        <v>29</v>
      </c>
      <c r="G223" s="172"/>
      <c r="H223" s="174"/>
      <c r="I223" s="172"/>
      <c r="J223" s="165"/>
      <c r="K223" s="12"/>
    </row>
    <row r="224" spans="2:11" x14ac:dyDescent="0.25">
      <c r="B224" s="181"/>
      <c r="C224" s="170" t="s">
        <v>30</v>
      </c>
      <c r="D224" s="171">
        <v>1.8</v>
      </c>
      <c r="E224" s="172">
        <v>1.7</v>
      </c>
      <c r="F224" s="23">
        <v>29</v>
      </c>
      <c r="G224" s="172"/>
      <c r="H224" s="174"/>
      <c r="I224" s="172"/>
      <c r="J224" s="165"/>
      <c r="K224" s="12"/>
    </row>
    <row r="225" spans="2:11" x14ac:dyDescent="0.25">
      <c r="B225" s="181"/>
      <c r="C225" s="170" t="s">
        <v>31</v>
      </c>
      <c r="D225" s="171">
        <v>0.73</v>
      </c>
      <c r="E225" s="172">
        <v>1.7</v>
      </c>
      <c r="F225" s="23">
        <v>29</v>
      </c>
      <c r="G225" s="172"/>
      <c r="H225" s="99"/>
      <c r="I225" s="172"/>
      <c r="J225" s="165"/>
      <c r="K225" s="12"/>
    </row>
    <row r="226" spans="2:11" x14ac:dyDescent="0.25">
      <c r="B226" s="181"/>
      <c r="C226" s="57" t="s">
        <v>50</v>
      </c>
      <c r="D226" s="58">
        <f>'Fwy &amp; Tee Quantities '!C38</f>
        <v>9</v>
      </c>
      <c r="E226" s="59">
        <v>1.7</v>
      </c>
      <c r="F226" s="60">
        <v>29</v>
      </c>
      <c r="G226" s="1048" t="s">
        <v>51</v>
      </c>
      <c r="H226" s="161"/>
      <c r="I226" s="1046"/>
      <c r="J226" s="165"/>
      <c r="K226" s="12"/>
    </row>
    <row r="227" spans="2:11" x14ac:dyDescent="0.25">
      <c r="B227" s="207"/>
      <c r="C227" s="57" t="s">
        <v>14</v>
      </c>
      <c r="D227" s="58">
        <f>'Fwy &amp; Tee Quantities '!C22</f>
        <v>0.37</v>
      </c>
      <c r="E227" s="59">
        <v>1.7</v>
      </c>
      <c r="F227" s="1047">
        <v>29</v>
      </c>
      <c r="G227" s="59" t="s">
        <v>15</v>
      </c>
      <c r="H227" s="244"/>
      <c r="I227" s="1046"/>
      <c r="J227" s="165"/>
      <c r="K227" s="12"/>
    </row>
    <row r="228" spans="2:11" x14ac:dyDescent="0.25">
      <c r="B228" s="921"/>
      <c r="C228" s="62" t="s">
        <v>55</v>
      </c>
      <c r="D228" s="63">
        <f>'Fwy &amp; Tee Quantities '!C32</f>
        <v>0.75</v>
      </c>
      <c r="E228" s="64">
        <v>1.7</v>
      </c>
      <c r="F228" s="224">
        <v>29</v>
      </c>
      <c r="G228" s="64" t="s">
        <v>56</v>
      </c>
      <c r="H228" s="131"/>
      <c r="I228" s="191"/>
      <c r="J228" s="24"/>
      <c r="K228" s="12"/>
    </row>
    <row r="229" spans="2:11" x14ac:dyDescent="0.25">
      <c r="B229" s="12"/>
      <c r="C229" s="211"/>
      <c r="D229" s="185"/>
      <c r="E229" s="186"/>
      <c r="F229" s="187"/>
      <c r="G229" s="209"/>
      <c r="H229" s="163"/>
      <c r="I229" s="186"/>
      <c r="J229" s="226"/>
      <c r="K229" s="12"/>
    </row>
    <row r="230" spans="2:11" x14ac:dyDescent="0.25">
      <c r="B230" s="220">
        <v>46315</v>
      </c>
      <c r="C230" s="221" t="s">
        <v>39</v>
      </c>
      <c r="D230" s="198">
        <f>'Fwy &amp; Tee Quantities '!C8</f>
        <v>1.8</v>
      </c>
      <c r="E230" s="195">
        <v>1.7</v>
      </c>
      <c r="F230" s="26">
        <v>29</v>
      </c>
      <c r="G230" s="195" t="s">
        <v>40</v>
      </c>
      <c r="H230" s="6"/>
      <c r="I230" s="101"/>
      <c r="J230" s="24"/>
      <c r="K230" s="12"/>
    </row>
    <row r="231" spans="2:11" x14ac:dyDescent="0.25">
      <c r="B231" s="12"/>
      <c r="C231" s="155" t="s">
        <v>24</v>
      </c>
      <c r="D231" s="15">
        <f>'Fwy &amp; Tee Quantities '!C5</f>
        <v>4</v>
      </c>
      <c r="E231" s="16">
        <v>1.7</v>
      </c>
      <c r="F231" s="16">
        <v>29</v>
      </c>
      <c r="G231" s="16" t="s">
        <v>93</v>
      </c>
      <c r="H231" s="174"/>
      <c r="I231" s="27" t="s">
        <v>26</v>
      </c>
      <c r="J231" s="120">
        <v>2</v>
      </c>
      <c r="K231" s="12"/>
    </row>
    <row r="232" spans="2:11" x14ac:dyDescent="0.25">
      <c r="B232" s="73"/>
      <c r="C232" s="170" t="s">
        <v>27</v>
      </c>
      <c r="D232" s="171">
        <v>6.5000000000000002E-2</v>
      </c>
      <c r="E232" s="172">
        <v>1.7</v>
      </c>
      <c r="F232" s="23">
        <v>29</v>
      </c>
      <c r="G232" s="172"/>
      <c r="H232" s="174"/>
      <c r="I232" s="100"/>
      <c r="J232" s="227"/>
      <c r="K232" s="12"/>
    </row>
    <row r="233" spans="2:11" x14ac:dyDescent="0.25">
      <c r="B233" s="6"/>
      <c r="C233" s="170" t="s">
        <v>41</v>
      </c>
      <c r="D233" s="171">
        <v>0.54</v>
      </c>
      <c r="E233" s="172">
        <v>1.7</v>
      </c>
      <c r="F233" s="23">
        <v>29</v>
      </c>
      <c r="G233" s="173"/>
      <c r="H233" s="174"/>
      <c r="I233" s="100"/>
      <c r="J233" s="228"/>
      <c r="K233" s="12"/>
    </row>
    <row r="234" spans="2:11" x14ac:dyDescent="0.25">
      <c r="B234" s="6"/>
      <c r="C234" s="170" t="s">
        <v>29</v>
      </c>
      <c r="D234" s="171">
        <v>1.8</v>
      </c>
      <c r="E234" s="172">
        <v>1.7</v>
      </c>
      <c r="F234" s="23">
        <v>29</v>
      </c>
      <c r="G234" s="172"/>
      <c r="H234" s="174"/>
      <c r="I234" s="100"/>
      <c r="J234" s="228"/>
      <c r="K234" s="12"/>
    </row>
    <row r="235" spans="2:11" x14ac:dyDescent="0.25">
      <c r="B235" s="6"/>
      <c r="C235" s="170" t="s">
        <v>30</v>
      </c>
      <c r="D235" s="171">
        <v>1.8</v>
      </c>
      <c r="E235" s="172">
        <v>1.7</v>
      </c>
      <c r="F235" s="23">
        <v>29</v>
      </c>
      <c r="G235" s="172"/>
      <c r="H235" s="174"/>
      <c r="I235" s="100"/>
      <c r="J235" s="228"/>
      <c r="K235" s="12"/>
    </row>
    <row r="236" spans="2:11" x14ac:dyDescent="0.25">
      <c r="B236" s="30"/>
      <c r="C236" s="170" t="s">
        <v>31</v>
      </c>
      <c r="D236" s="171">
        <v>0.73</v>
      </c>
      <c r="E236" s="172">
        <v>1.7</v>
      </c>
      <c r="F236" s="23">
        <v>29</v>
      </c>
      <c r="G236" s="172"/>
      <c r="H236" s="174"/>
      <c r="I236" s="100"/>
      <c r="J236" s="228"/>
      <c r="K236" s="12"/>
    </row>
    <row r="237" spans="2:11" x14ac:dyDescent="0.25">
      <c r="B237" s="919"/>
      <c r="C237" s="184"/>
      <c r="D237" s="185"/>
      <c r="E237" s="186"/>
      <c r="F237" s="230"/>
      <c r="G237" s="190"/>
      <c r="H237" s="188"/>
      <c r="I237" s="190"/>
      <c r="J237" s="231"/>
      <c r="K237" s="12"/>
    </row>
    <row r="238" spans="2:11" x14ac:dyDescent="0.25">
      <c r="B238" s="150">
        <v>46343</v>
      </c>
      <c r="C238" s="232" t="s">
        <v>94</v>
      </c>
      <c r="D238" s="233">
        <f>'Fwy &amp; Tee Quantities '!C14</f>
        <v>5</v>
      </c>
      <c r="E238" s="234">
        <v>1.7</v>
      </c>
      <c r="F238" s="26">
        <v>29</v>
      </c>
      <c r="G238" s="235" t="s">
        <v>95</v>
      </c>
      <c r="H238" s="39" t="s">
        <v>96</v>
      </c>
      <c r="I238" s="236" t="s">
        <v>19</v>
      </c>
      <c r="J238" s="237" t="s">
        <v>97</v>
      </c>
      <c r="K238" s="12"/>
    </row>
    <row r="239" spans="2:11" x14ac:dyDescent="0.25">
      <c r="B239" s="12"/>
      <c r="C239" s="160" t="s">
        <v>27</v>
      </c>
      <c r="D239" s="171">
        <v>6.5000000000000002E-2</v>
      </c>
      <c r="E239" s="172">
        <v>1.7</v>
      </c>
      <c r="F239" s="23">
        <v>29</v>
      </c>
      <c r="G239" s="172"/>
      <c r="H239" s="174"/>
      <c r="I239" s="172"/>
      <c r="J239" s="238"/>
      <c r="K239" s="239"/>
    </row>
    <row r="240" spans="2:11" x14ac:dyDescent="0.25">
      <c r="B240" s="73"/>
      <c r="C240" s="170" t="s">
        <v>28</v>
      </c>
      <c r="D240" s="171">
        <v>0.54</v>
      </c>
      <c r="E240" s="172">
        <v>1.7</v>
      </c>
      <c r="F240" s="23">
        <v>29</v>
      </c>
      <c r="G240" s="172"/>
      <c r="H240" s="174"/>
      <c r="I240" s="172"/>
      <c r="J240" s="165"/>
      <c r="K240" s="12"/>
    </row>
    <row r="241" spans="2:11" x14ac:dyDescent="0.25">
      <c r="B241" s="6"/>
      <c r="C241" s="170" t="s">
        <v>29</v>
      </c>
      <c r="D241" s="171">
        <v>1.8</v>
      </c>
      <c r="E241" s="172">
        <v>1.7</v>
      </c>
      <c r="F241" s="23">
        <v>29</v>
      </c>
      <c r="G241" s="172"/>
      <c r="H241" s="174"/>
      <c r="I241" s="172"/>
      <c r="J241" s="165"/>
      <c r="K241" s="12"/>
    </row>
    <row r="242" spans="2:11" x14ac:dyDescent="0.25">
      <c r="B242" s="207"/>
      <c r="C242" s="240" t="s">
        <v>30</v>
      </c>
      <c r="D242" s="241">
        <v>1.8</v>
      </c>
      <c r="E242" s="242">
        <v>1.7</v>
      </c>
      <c r="F242" s="23">
        <v>29</v>
      </c>
      <c r="G242" s="242"/>
      <c r="H242" s="243"/>
      <c r="I242" s="172"/>
      <c r="J242" s="165"/>
      <c r="K242" s="222"/>
    </row>
    <row r="243" spans="2:11" x14ac:dyDescent="0.25">
      <c r="B243" s="222"/>
      <c r="C243" s="933" t="s">
        <v>31</v>
      </c>
      <c r="D243" s="241">
        <v>0.73</v>
      </c>
      <c r="E243" s="242">
        <v>1.7</v>
      </c>
      <c r="F243" s="934">
        <v>29</v>
      </c>
      <c r="G243" s="935"/>
      <c r="H243" s="936"/>
      <c r="I243" s="935"/>
      <c r="J243" s="937"/>
      <c r="K243" s="222"/>
    </row>
    <row r="244" spans="2:11" x14ac:dyDescent="0.25">
      <c r="B244" s="12"/>
      <c r="C244" s="938" t="s">
        <v>11</v>
      </c>
      <c r="D244" s="939">
        <v>5</v>
      </c>
      <c r="E244" s="939">
        <v>1.7</v>
      </c>
      <c r="F244" s="939">
        <v>29</v>
      </c>
      <c r="G244" s="939" t="s">
        <v>12</v>
      </c>
      <c r="H244" s="244"/>
      <c r="I244" s="172"/>
      <c r="J244" s="38"/>
      <c r="K244" s="12"/>
    </row>
  </sheetData>
  <mergeCells count="1">
    <mergeCell ref="C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D946-CB21-4EDF-9018-523383447379}">
  <sheetPr>
    <tabColor rgb="FFFFC000"/>
  </sheetPr>
  <dimension ref="A1:L87"/>
  <sheetViews>
    <sheetView workbookViewId="0">
      <selection activeCell="L5" sqref="L5"/>
    </sheetView>
  </sheetViews>
  <sheetFormatPr defaultRowHeight="15" x14ac:dyDescent="0.25"/>
  <cols>
    <col min="2" max="2" width="10.140625" bestFit="1" customWidth="1"/>
    <col min="3" max="3" width="18" bestFit="1" customWidth="1"/>
    <col min="4" max="4" width="11.7109375" bestFit="1" customWidth="1"/>
    <col min="5" max="5" width="6.7109375" bestFit="1" customWidth="1"/>
    <col min="6" max="6" width="5.85546875" bestFit="1" customWidth="1"/>
    <col min="7" max="7" width="15.140625" bestFit="1" customWidth="1"/>
    <col min="8" max="8" width="22.140625" bestFit="1" customWidth="1"/>
    <col min="9" max="9" width="15.7109375" bestFit="1" customWidth="1"/>
    <col min="10" max="10" width="6.5703125" bestFit="1" customWidth="1"/>
    <col min="11" max="11" width="10.140625" bestFit="1" customWidth="1"/>
    <col min="12" max="12" width="40.85546875" bestFit="1" customWidth="1"/>
  </cols>
  <sheetData>
    <row r="1" spans="2:12" ht="21" x14ac:dyDescent="0.35">
      <c r="E1" s="1532" t="s">
        <v>359</v>
      </c>
      <c r="F1" s="1533"/>
      <c r="G1" s="1533"/>
      <c r="H1" s="1533"/>
      <c r="I1" s="1533"/>
      <c r="J1" s="1533"/>
    </row>
    <row r="2" spans="2:12" x14ac:dyDescent="0.25">
      <c r="G2" s="522"/>
      <c r="J2" s="544"/>
    </row>
    <row r="3" spans="2:12" x14ac:dyDescent="0.25">
      <c r="B3" s="545" t="s">
        <v>1</v>
      </c>
      <c r="C3" s="546" t="s">
        <v>2</v>
      </c>
      <c r="D3" s="547" t="s">
        <v>3</v>
      </c>
      <c r="E3" s="548" t="s">
        <v>4</v>
      </c>
      <c r="F3" s="547" t="s">
        <v>5</v>
      </c>
      <c r="G3" s="984" t="s">
        <v>224</v>
      </c>
      <c r="H3" s="547" t="s">
        <v>6</v>
      </c>
      <c r="I3" s="549" t="s">
        <v>7</v>
      </c>
      <c r="J3" s="548" t="s">
        <v>9</v>
      </c>
      <c r="K3" s="550" t="s">
        <v>8</v>
      </c>
      <c r="L3" s="551" t="s">
        <v>10</v>
      </c>
    </row>
    <row r="4" spans="2:12" x14ac:dyDescent="0.25">
      <c r="B4" s="552"/>
      <c r="C4" s="553"/>
      <c r="D4" s="553"/>
      <c r="E4" s="553"/>
      <c r="F4" s="553"/>
      <c r="G4" s="554"/>
      <c r="H4" s="553"/>
      <c r="I4" s="553"/>
      <c r="J4" s="1267"/>
      <c r="K4" s="553"/>
      <c r="L4" s="555"/>
    </row>
    <row r="5" spans="2:12" x14ac:dyDescent="0.25">
      <c r="B5" s="1266">
        <v>46118</v>
      </c>
      <c r="C5" s="573" t="s">
        <v>360</v>
      </c>
      <c r="D5" s="573">
        <v>1</v>
      </c>
      <c r="E5" s="573">
        <v>1.7</v>
      </c>
      <c r="F5" s="573">
        <v>30</v>
      </c>
      <c r="G5" s="1265"/>
      <c r="H5" s="123"/>
      <c r="I5" s="123"/>
      <c r="J5" s="544"/>
      <c r="K5" s="123"/>
      <c r="L5" s="596" t="s">
        <v>361</v>
      </c>
    </row>
    <row r="6" spans="2:12" x14ac:dyDescent="0.25">
      <c r="B6" s="1264"/>
      <c r="C6" s="567"/>
      <c r="D6" s="567"/>
      <c r="E6" s="567"/>
      <c r="F6" s="567"/>
      <c r="G6" s="567"/>
      <c r="H6" s="567"/>
      <c r="I6" s="567"/>
      <c r="J6" s="567"/>
      <c r="K6" s="567"/>
      <c r="L6" s="596"/>
    </row>
    <row r="7" spans="2:12" ht="45" x14ac:dyDescent="0.25">
      <c r="B7" s="556">
        <v>46125</v>
      </c>
      <c r="C7" s="557" t="s">
        <v>362</v>
      </c>
      <c r="D7" s="557">
        <v>0.84</v>
      </c>
      <c r="E7" s="557">
        <v>2</v>
      </c>
      <c r="F7" s="557">
        <v>8</v>
      </c>
      <c r="G7" s="558"/>
      <c r="H7" s="559" t="s">
        <v>363</v>
      </c>
      <c r="I7" s="560"/>
      <c r="J7" s="561" t="s">
        <v>364</v>
      </c>
      <c r="K7" s="560"/>
      <c r="L7" s="562" t="s">
        <v>365</v>
      </c>
    </row>
    <row r="8" spans="2:12" x14ac:dyDescent="0.25">
      <c r="B8" s="563"/>
      <c r="C8" s="564" t="s">
        <v>366</v>
      </c>
      <c r="D8" s="564" t="s">
        <v>367</v>
      </c>
      <c r="E8" s="564">
        <v>2</v>
      </c>
      <c r="F8" s="564">
        <v>64</v>
      </c>
      <c r="G8" s="48"/>
      <c r="H8" s="12"/>
      <c r="I8" s="12"/>
      <c r="J8" s="565"/>
      <c r="K8" s="12"/>
      <c r="L8" s="197"/>
    </row>
    <row r="9" spans="2:12" x14ac:dyDescent="0.25">
      <c r="B9" s="563"/>
      <c r="C9" s="564" t="s">
        <v>368</v>
      </c>
      <c r="D9" s="564" t="s">
        <v>369</v>
      </c>
      <c r="E9" s="564">
        <v>2</v>
      </c>
      <c r="F9" s="564">
        <v>8</v>
      </c>
      <c r="G9" s="48"/>
      <c r="H9" s="12"/>
      <c r="I9" s="12"/>
      <c r="J9" s="565"/>
      <c r="K9" s="12"/>
      <c r="L9" s="197"/>
    </row>
    <row r="10" spans="2:12" x14ac:dyDescent="0.25">
      <c r="B10" s="563"/>
      <c r="C10" s="564" t="s">
        <v>133</v>
      </c>
      <c r="D10" s="564" t="s">
        <v>369</v>
      </c>
      <c r="E10" s="564">
        <v>2</v>
      </c>
      <c r="F10" s="564">
        <v>64</v>
      </c>
      <c r="G10" s="48"/>
      <c r="H10" s="12"/>
      <c r="I10" s="12"/>
      <c r="J10" s="565"/>
      <c r="K10" s="12"/>
      <c r="L10" s="197"/>
    </row>
    <row r="11" spans="2:12" x14ac:dyDescent="0.25">
      <c r="B11" s="566"/>
      <c r="C11" s="567"/>
      <c r="D11" s="567"/>
      <c r="E11" s="567"/>
      <c r="F11" s="567"/>
      <c r="G11" s="567"/>
      <c r="H11" s="567"/>
      <c r="I11" s="567"/>
      <c r="J11" s="568"/>
      <c r="K11" s="567"/>
      <c r="L11" s="569"/>
    </row>
    <row r="12" spans="2:12" x14ac:dyDescent="0.25">
      <c r="B12" s="570">
        <v>46146</v>
      </c>
      <c r="C12" s="571" t="s">
        <v>370</v>
      </c>
      <c r="D12" s="571">
        <v>2</v>
      </c>
      <c r="E12" s="571">
        <v>1.7</v>
      </c>
      <c r="F12" s="571">
        <v>80</v>
      </c>
      <c r="G12" s="48" t="s">
        <v>232</v>
      </c>
      <c r="H12" s="12" t="s">
        <v>371</v>
      </c>
      <c r="I12" s="12" t="s">
        <v>258</v>
      </c>
      <c r="J12" s="565">
        <v>3</v>
      </c>
      <c r="K12" s="572" t="s">
        <v>48</v>
      </c>
      <c r="L12" s="197" t="s">
        <v>18</v>
      </c>
    </row>
    <row r="13" spans="2:12" x14ac:dyDescent="0.25">
      <c r="B13" s="563"/>
      <c r="C13" s="564" t="s">
        <v>372</v>
      </c>
      <c r="D13" s="564"/>
      <c r="E13" s="564">
        <v>1.7</v>
      </c>
      <c r="F13" s="564">
        <v>80</v>
      </c>
      <c r="G13" s="48"/>
      <c r="H13" s="12"/>
      <c r="I13" s="12"/>
      <c r="J13" s="565"/>
      <c r="K13" s="12"/>
      <c r="L13" s="197"/>
    </row>
    <row r="14" spans="2:12" x14ac:dyDescent="0.25">
      <c r="B14" s="563"/>
      <c r="C14" s="564" t="s">
        <v>373</v>
      </c>
      <c r="D14" s="564"/>
      <c r="E14" s="564">
        <v>1.7</v>
      </c>
      <c r="F14" s="564">
        <v>80</v>
      </c>
      <c r="G14" s="48"/>
      <c r="H14" s="12"/>
      <c r="I14" s="12"/>
      <c r="J14" s="565"/>
      <c r="K14" s="12"/>
      <c r="L14" s="197"/>
    </row>
    <row r="15" spans="2:12" x14ac:dyDescent="0.25">
      <c r="B15" s="563"/>
      <c r="C15" s="564" t="s">
        <v>374</v>
      </c>
      <c r="D15" s="564">
        <v>1.8</v>
      </c>
      <c r="E15" s="564">
        <v>1.7</v>
      </c>
      <c r="F15" s="564">
        <v>80</v>
      </c>
      <c r="G15" s="48"/>
      <c r="H15" s="12"/>
      <c r="I15" s="12"/>
      <c r="J15" s="565"/>
      <c r="K15" s="12"/>
      <c r="L15" s="197"/>
    </row>
    <row r="16" spans="2:12" x14ac:dyDescent="0.25">
      <c r="B16" s="563"/>
      <c r="C16" s="564" t="s">
        <v>368</v>
      </c>
      <c r="D16" s="564"/>
      <c r="E16" s="564">
        <v>1.7</v>
      </c>
      <c r="F16" s="564">
        <v>80</v>
      </c>
      <c r="G16" s="48"/>
      <c r="H16" s="12"/>
      <c r="I16" s="12"/>
      <c r="J16" s="565"/>
      <c r="K16" s="12"/>
      <c r="L16" s="197"/>
    </row>
    <row r="17" spans="2:12" x14ac:dyDescent="0.25">
      <c r="B17" s="563"/>
      <c r="C17" s="564" t="s">
        <v>375</v>
      </c>
      <c r="D17" s="564">
        <v>0.5</v>
      </c>
      <c r="E17" s="564">
        <v>1.7</v>
      </c>
      <c r="F17" s="564">
        <v>80</v>
      </c>
      <c r="G17" s="48"/>
      <c r="H17" s="12"/>
      <c r="I17" s="12"/>
      <c r="J17" s="565"/>
      <c r="K17" s="12"/>
      <c r="L17" s="197"/>
    </row>
    <row r="18" spans="2:12" x14ac:dyDescent="0.25">
      <c r="B18" s="563"/>
      <c r="C18" s="567"/>
      <c r="D18" s="567"/>
      <c r="E18" s="567"/>
      <c r="F18" s="567"/>
      <c r="G18" s="567"/>
      <c r="H18" s="567"/>
      <c r="I18" s="567"/>
      <c r="J18" s="567"/>
      <c r="K18" s="567"/>
      <c r="L18" s="197"/>
    </row>
    <row r="19" spans="2:12" x14ac:dyDescent="0.25">
      <c r="B19" s="570">
        <v>46153</v>
      </c>
      <c r="C19" s="573" t="s">
        <v>376</v>
      </c>
      <c r="D19" s="573" t="s">
        <v>377</v>
      </c>
      <c r="E19" s="573"/>
      <c r="F19" s="573">
        <v>30</v>
      </c>
      <c r="G19" s="12"/>
      <c r="H19" s="12"/>
      <c r="I19" s="12"/>
      <c r="J19" s="565"/>
      <c r="K19" s="12"/>
      <c r="L19" s="197" t="s">
        <v>378</v>
      </c>
    </row>
    <row r="20" spans="2:12" x14ac:dyDescent="0.25">
      <c r="B20" s="563"/>
      <c r="C20" s="573" t="s">
        <v>379</v>
      </c>
      <c r="D20" s="573" t="s">
        <v>380</v>
      </c>
      <c r="E20" s="573"/>
      <c r="F20" s="573">
        <v>30</v>
      </c>
      <c r="G20" s="12"/>
      <c r="H20" s="12"/>
      <c r="I20" s="12"/>
      <c r="J20" s="565"/>
      <c r="K20" s="12"/>
      <c r="L20" s="197"/>
    </row>
    <row r="21" spans="2:12" x14ac:dyDescent="0.25">
      <c r="B21" s="563"/>
      <c r="C21" s="567"/>
      <c r="D21" s="567"/>
      <c r="E21" s="567"/>
      <c r="F21" s="567"/>
      <c r="G21" s="567"/>
      <c r="H21" s="567"/>
      <c r="I21" s="567"/>
      <c r="J21" s="567"/>
      <c r="K21" s="567"/>
      <c r="L21" s="197"/>
    </row>
    <row r="22" spans="2:12" x14ac:dyDescent="0.25">
      <c r="B22" s="570">
        <v>46160</v>
      </c>
      <c r="C22" s="573" t="s">
        <v>381</v>
      </c>
      <c r="D22" s="573"/>
      <c r="E22" s="573">
        <v>1.7</v>
      </c>
      <c r="F22" s="573">
        <v>80</v>
      </c>
      <c r="G22" s="48"/>
      <c r="H22" s="12"/>
      <c r="I22" s="12"/>
      <c r="J22" s="565"/>
      <c r="K22" s="12"/>
      <c r="L22" s="197"/>
    </row>
    <row r="23" spans="2:12" x14ac:dyDescent="0.25">
      <c r="B23" s="563"/>
      <c r="C23" s="573" t="s">
        <v>382</v>
      </c>
      <c r="D23" s="573"/>
      <c r="E23" s="573">
        <v>1.7</v>
      </c>
      <c r="F23" s="573">
        <v>80</v>
      </c>
      <c r="G23" s="48"/>
      <c r="H23" s="12"/>
      <c r="I23" s="12"/>
      <c r="J23" s="565"/>
      <c r="K23" s="12"/>
      <c r="L23" s="256"/>
    </row>
    <row r="24" spans="2:12" x14ac:dyDescent="0.25">
      <c r="B24" s="574"/>
      <c r="C24" s="1065" t="s">
        <v>196</v>
      </c>
      <c r="D24" s="1065"/>
      <c r="E24" s="1065">
        <v>1.7</v>
      </c>
      <c r="F24" s="1065">
        <v>80</v>
      </c>
      <c r="G24" s="575"/>
      <c r="H24" s="222"/>
      <c r="I24" s="222"/>
      <c r="J24" s="576"/>
      <c r="K24" s="222"/>
      <c r="L24" s="577"/>
    </row>
    <row r="25" spans="2:12" x14ac:dyDescent="0.25">
      <c r="B25" s="566"/>
      <c r="C25" s="567"/>
      <c r="D25" s="567"/>
      <c r="E25" s="567"/>
      <c r="F25" s="567"/>
      <c r="G25" s="567"/>
      <c r="H25" s="567"/>
      <c r="I25" s="567"/>
      <c r="J25" s="568"/>
      <c r="K25" s="567"/>
      <c r="L25" s="569"/>
    </row>
    <row r="26" spans="2:12" x14ac:dyDescent="0.25">
      <c r="B26" s="570">
        <v>46181</v>
      </c>
      <c r="C26" s="571" t="s">
        <v>198</v>
      </c>
      <c r="D26" s="571">
        <v>4</v>
      </c>
      <c r="E26" s="571">
        <v>1.7</v>
      </c>
      <c r="F26" s="571">
        <v>80</v>
      </c>
      <c r="G26" s="48" t="s">
        <v>232</v>
      </c>
      <c r="H26" s="12" t="s">
        <v>68</v>
      </c>
      <c r="I26" s="12" t="s">
        <v>258</v>
      </c>
      <c r="J26" s="565"/>
      <c r="K26" s="572" t="s">
        <v>48</v>
      </c>
      <c r="L26" s="197"/>
    </row>
    <row r="27" spans="2:12" x14ac:dyDescent="0.25">
      <c r="B27" s="563"/>
      <c r="C27" s="571" t="s">
        <v>199</v>
      </c>
      <c r="D27" s="571">
        <v>1.8</v>
      </c>
      <c r="E27" s="571">
        <v>1.7</v>
      </c>
      <c r="F27" s="571">
        <v>80</v>
      </c>
      <c r="G27" s="48"/>
      <c r="H27" s="12" t="s">
        <v>383</v>
      </c>
      <c r="I27" s="12"/>
      <c r="J27" s="565" t="s">
        <v>205</v>
      </c>
      <c r="K27" s="12"/>
      <c r="L27" s="197"/>
    </row>
    <row r="28" spans="2:12" x14ac:dyDescent="0.25">
      <c r="B28" s="563"/>
      <c r="C28" s="564" t="s">
        <v>372</v>
      </c>
      <c r="D28" s="564"/>
      <c r="E28" s="564">
        <v>1.7</v>
      </c>
      <c r="F28" s="564">
        <v>80</v>
      </c>
      <c r="G28" s="48"/>
      <c r="H28" s="12"/>
      <c r="I28" s="12"/>
      <c r="J28" s="565"/>
      <c r="K28" s="12"/>
      <c r="L28" s="197"/>
    </row>
    <row r="29" spans="2:12" x14ac:dyDescent="0.25">
      <c r="B29" s="563"/>
      <c r="C29" s="564" t="s">
        <v>373</v>
      </c>
      <c r="D29" s="564"/>
      <c r="E29" s="564">
        <v>1.7</v>
      </c>
      <c r="F29" s="564">
        <v>80</v>
      </c>
      <c r="G29" s="48"/>
      <c r="H29" s="12"/>
      <c r="I29" s="12"/>
      <c r="J29" s="565"/>
      <c r="K29" s="12"/>
      <c r="L29" s="197"/>
    </row>
    <row r="30" spans="2:12" x14ac:dyDescent="0.25">
      <c r="B30" s="563"/>
      <c r="C30" s="564" t="s">
        <v>374</v>
      </c>
      <c r="D30" s="564">
        <v>1.8</v>
      </c>
      <c r="E30" s="564">
        <v>1.7</v>
      </c>
      <c r="F30" s="564">
        <v>80</v>
      </c>
      <c r="G30" s="48"/>
      <c r="H30" s="12"/>
      <c r="I30" s="12"/>
      <c r="J30" s="565"/>
      <c r="K30" s="12"/>
      <c r="L30" s="197"/>
    </row>
    <row r="31" spans="2:12" x14ac:dyDescent="0.25">
      <c r="B31" s="563"/>
      <c r="C31" s="564" t="s">
        <v>368</v>
      </c>
      <c r="D31" s="564"/>
      <c r="E31" s="564">
        <v>1.7</v>
      </c>
      <c r="F31" s="564">
        <v>80</v>
      </c>
      <c r="G31" s="48"/>
      <c r="H31" s="12"/>
      <c r="I31" s="12"/>
      <c r="J31" s="565"/>
      <c r="K31" s="12"/>
      <c r="L31" s="197"/>
    </row>
    <row r="32" spans="2:12" x14ac:dyDescent="0.25">
      <c r="B32" s="563"/>
      <c r="C32" s="564" t="s">
        <v>384</v>
      </c>
      <c r="D32" s="564">
        <v>0.5</v>
      </c>
      <c r="E32" s="564">
        <v>1.7</v>
      </c>
      <c r="F32" s="564">
        <v>80</v>
      </c>
      <c r="G32" s="48"/>
      <c r="H32" s="12"/>
      <c r="I32" s="12"/>
      <c r="J32" s="565"/>
      <c r="K32" s="12"/>
      <c r="L32" s="197"/>
    </row>
    <row r="33" spans="1:12" x14ac:dyDescent="0.25">
      <c r="B33" s="563"/>
      <c r="C33" s="579" t="s">
        <v>196</v>
      </c>
      <c r="D33" s="579">
        <v>0.05</v>
      </c>
      <c r="E33" s="579">
        <v>1.7</v>
      </c>
      <c r="F33" s="579">
        <v>80</v>
      </c>
      <c r="G33" s="48"/>
      <c r="H33" s="12"/>
      <c r="I33" s="12"/>
      <c r="J33" s="565"/>
      <c r="K33" s="12"/>
      <c r="L33" s="197"/>
    </row>
    <row r="34" spans="1:12" x14ac:dyDescent="0.25">
      <c r="B34" s="563"/>
      <c r="C34" s="722"/>
      <c r="D34" s="722"/>
      <c r="E34" s="722"/>
      <c r="F34" s="722"/>
      <c r="G34" s="722"/>
      <c r="H34" s="722"/>
      <c r="I34" s="722"/>
      <c r="J34" s="1270"/>
      <c r="K34" s="722"/>
      <c r="L34" s="197"/>
    </row>
    <row r="35" spans="1:12" x14ac:dyDescent="0.25">
      <c r="B35" s="570">
        <v>46195</v>
      </c>
      <c r="C35" s="593" t="s">
        <v>385</v>
      </c>
      <c r="D35" s="593">
        <v>1.45</v>
      </c>
      <c r="E35" s="593">
        <v>2</v>
      </c>
      <c r="F35" s="593">
        <v>8</v>
      </c>
      <c r="G35" s="48" t="s">
        <v>34</v>
      </c>
      <c r="H35" s="12"/>
      <c r="I35" s="12"/>
      <c r="J35" s="565"/>
      <c r="K35" s="12"/>
      <c r="L35" s="197" t="s">
        <v>386</v>
      </c>
    </row>
    <row r="36" spans="1:12" x14ac:dyDescent="0.25">
      <c r="B36" s="563"/>
      <c r="C36" s="593" t="s">
        <v>387</v>
      </c>
      <c r="D36" s="593" t="s">
        <v>388</v>
      </c>
      <c r="E36" s="593">
        <v>2</v>
      </c>
      <c r="F36" s="593">
        <v>8</v>
      </c>
      <c r="G36" s="48"/>
      <c r="H36" s="12"/>
      <c r="I36" s="12"/>
      <c r="J36" s="565"/>
      <c r="K36" s="12"/>
      <c r="L36" s="197"/>
    </row>
    <row r="37" spans="1:12" x14ac:dyDescent="0.25">
      <c r="A37" t="s">
        <v>34</v>
      </c>
      <c r="B37" s="584"/>
      <c r="C37" s="585"/>
      <c r="D37" s="585"/>
      <c r="E37" s="585"/>
      <c r="F37" s="585"/>
      <c r="G37" s="585"/>
      <c r="H37" s="585"/>
      <c r="I37" s="585"/>
      <c r="J37" s="586"/>
      <c r="K37" s="585"/>
      <c r="L37" s="587"/>
    </row>
    <row r="38" spans="1:12" x14ac:dyDescent="0.25">
      <c r="B38" s="583">
        <v>46204</v>
      </c>
      <c r="C38" s="571" t="s">
        <v>197</v>
      </c>
      <c r="D38" s="571">
        <v>0.5</v>
      </c>
      <c r="E38" s="571">
        <v>1.7</v>
      </c>
      <c r="F38" s="571">
        <v>80</v>
      </c>
      <c r="G38" s="282" t="s">
        <v>232</v>
      </c>
      <c r="H38" s="328" t="s">
        <v>22</v>
      </c>
      <c r="I38" s="328" t="s">
        <v>230</v>
      </c>
      <c r="J38" s="588">
        <v>29</v>
      </c>
      <c r="K38" s="153" t="s">
        <v>66</v>
      </c>
      <c r="L38" s="256"/>
    </row>
    <row r="39" spans="1:12" x14ac:dyDescent="0.25">
      <c r="B39" s="583"/>
      <c r="C39" s="571" t="s">
        <v>389</v>
      </c>
      <c r="D39" s="571">
        <v>0.75</v>
      </c>
      <c r="E39" s="571">
        <v>1.7</v>
      </c>
      <c r="F39" s="571">
        <v>80</v>
      </c>
      <c r="G39" s="590"/>
      <c r="H39" s="12" t="s">
        <v>390</v>
      </c>
      <c r="I39" s="12"/>
      <c r="J39" s="565"/>
      <c r="K39" s="591"/>
      <c r="L39" s="197"/>
    </row>
    <row r="40" spans="1:12" x14ac:dyDescent="0.25">
      <c r="B40" s="581"/>
      <c r="C40" s="564" t="s">
        <v>372</v>
      </c>
      <c r="D40" s="564"/>
      <c r="E40" s="564">
        <v>1.7</v>
      </c>
      <c r="F40" s="564">
        <v>80</v>
      </c>
      <c r="G40" s="582"/>
      <c r="H40" s="12"/>
      <c r="I40" s="12"/>
      <c r="J40" s="565"/>
      <c r="K40" s="12"/>
      <c r="L40" s="197"/>
    </row>
    <row r="41" spans="1:12" x14ac:dyDescent="0.25">
      <c r="B41" s="581"/>
      <c r="C41" s="564" t="s">
        <v>373</v>
      </c>
      <c r="D41" s="564"/>
      <c r="E41" s="564">
        <v>1.7</v>
      </c>
      <c r="F41" s="564">
        <v>80</v>
      </c>
      <c r="G41" s="582"/>
      <c r="H41" s="12"/>
      <c r="I41" s="12"/>
      <c r="J41" s="565"/>
      <c r="K41" s="12"/>
      <c r="L41" s="197"/>
    </row>
    <row r="42" spans="1:12" x14ac:dyDescent="0.25">
      <c r="B42" s="581"/>
      <c r="C42" s="564" t="s">
        <v>374</v>
      </c>
      <c r="D42" s="564">
        <v>1.8</v>
      </c>
      <c r="E42" s="564">
        <v>1.7</v>
      </c>
      <c r="F42" s="564">
        <v>80</v>
      </c>
      <c r="G42" s="582"/>
      <c r="H42" s="12"/>
      <c r="I42" s="12"/>
      <c r="J42" s="565"/>
      <c r="K42" s="12"/>
      <c r="L42" s="197"/>
    </row>
    <row r="43" spans="1:12" x14ac:dyDescent="0.25">
      <c r="B43" s="581"/>
      <c r="C43" s="564" t="s">
        <v>368</v>
      </c>
      <c r="D43" s="564"/>
      <c r="E43" s="564">
        <v>1.7</v>
      </c>
      <c r="F43" s="564">
        <v>80</v>
      </c>
      <c r="G43" s="582"/>
      <c r="H43" s="12"/>
      <c r="I43" s="12"/>
      <c r="J43" s="565"/>
      <c r="K43" s="12"/>
      <c r="L43" s="197"/>
    </row>
    <row r="44" spans="1:12" x14ac:dyDescent="0.25">
      <c r="B44" s="581"/>
      <c r="C44" s="564" t="s">
        <v>375</v>
      </c>
      <c r="D44" s="564"/>
      <c r="E44" s="564">
        <v>1.7</v>
      </c>
      <c r="F44" s="564">
        <v>80</v>
      </c>
      <c r="G44" s="582"/>
      <c r="H44" s="12"/>
      <c r="I44" s="12"/>
      <c r="J44" s="565"/>
      <c r="K44" s="12"/>
      <c r="L44" s="197"/>
    </row>
    <row r="45" spans="1:12" x14ac:dyDescent="0.25">
      <c r="B45" s="581"/>
      <c r="C45" s="580" t="s">
        <v>196</v>
      </c>
      <c r="D45" s="580">
        <v>0.05</v>
      </c>
      <c r="E45" s="580">
        <v>1.7</v>
      </c>
      <c r="F45" s="580">
        <v>80</v>
      </c>
      <c r="G45" s="582"/>
      <c r="H45" s="12"/>
      <c r="I45" s="12"/>
      <c r="J45" s="565"/>
      <c r="K45" s="12"/>
      <c r="L45" s="197"/>
    </row>
    <row r="46" spans="1:12" x14ac:dyDescent="0.25">
      <c r="B46" s="563"/>
      <c r="C46" s="585"/>
      <c r="D46" s="585"/>
      <c r="E46" s="585"/>
      <c r="F46" s="585"/>
      <c r="G46" s="585"/>
      <c r="H46" s="585"/>
      <c r="I46" s="585"/>
      <c r="J46" s="585"/>
      <c r="K46" s="585"/>
      <c r="L46" s="197"/>
    </row>
    <row r="47" spans="1:12" x14ac:dyDescent="0.25">
      <c r="B47" s="570">
        <v>46225</v>
      </c>
      <c r="C47" s="571" t="s">
        <v>391</v>
      </c>
      <c r="D47" s="571">
        <v>2.08</v>
      </c>
      <c r="E47" s="571">
        <v>1.7</v>
      </c>
      <c r="F47" s="571">
        <v>80</v>
      </c>
      <c r="G47" s="48"/>
      <c r="H47" s="12" t="s">
        <v>392</v>
      </c>
      <c r="I47" s="222"/>
      <c r="J47" s="576"/>
      <c r="K47" s="222"/>
      <c r="L47" s="577"/>
    </row>
    <row r="48" spans="1:12" x14ac:dyDescent="0.25">
      <c r="B48" s="563"/>
      <c r="C48" s="571" t="s">
        <v>199</v>
      </c>
      <c r="D48" s="571">
        <v>2</v>
      </c>
      <c r="E48" s="571">
        <v>1.7</v>
      </c>
      <c r="F48" s="571">
        <v>80</v>
      </c>
      <c r="G48" s="48" t="s">
        <v>232</v>
      </c>
      <c r="H48" s="12" t="s">
        <v>371</v>
      </c>
      <c r="I48" s="12" t="s">
        <v>258</v>
      </c>
      <c r="J48" s="565">
        <v>3</v>
      </c>
      <c r="K48" s="572" t="s">
        <v>48</v>
      </c>
      <c r="L48" s="197" t="s">
        <v>393</v>
      </c>
    </row>
    <row r="49" spans="2:12" x14ac:dyDescent="0.25">
      <c r="B49" s="563"/>
      <c r="C49" s="564" t="s">
        <v>372</v>
      </c>
      <c r="D49" s="564">
        <v>0.75</v>
      </c>
      <c r="E49" s="564">
        <v>1.7</v>
      </c>
      <c r="F49" s="564">
        <v>80</v>
      </c>
      <c r="G49" s="48"/>
      <c r="H49" s="12"/>
      <c r="I49" s="12"/>
      <c r="J49" s="565"/>
      <c r="K49" s="12"/>
      <c r="L49" s="197"/>
    </row>
    <row r="50" spans="2:12" x14ac:dyDescent="0.25">
      <c r="B50" s="563"/>
      <c r="C50" s="564" t="s">
        <v>373</v>
      </c>
      <c r="D50" s="564"/>
      <c r="E50" s="564">
        <v>1.7</v>
      </c>
      <c r="F50" s="564">
        <v>80</v>
      </c>
      <c r="G50" s="48"/>
      <c r="H50" s="12"/>
      <c r="I50" s="12"/>
      <c r="J50" s="565"/>
      <c r="K50" s="12"/>
      <c r="L50" s="197"/>
    </row>
    <row r="51" spans="2:12" x14ac:dyDescent="0.25">
      <c r="B51" s="563"/>
      <c r="C51" s="564" t="s">
        <v>374</v>
      </c>
      <c r="D51" s="564">
        <v>1.8</v>
      </c>
      <c r="E51" s="564">
        <v>1.7</v>
      </c>
      <c r="F51" s="564">
        <v>80</v>
      </c>
      <c r="G51" s="48"/>
      <c r="H51" s="12"/>
      <c r="I51" s="12"/>
      <c r="J51" s="565"/>
      <c r="K51" s="12"/>
      <c r="L51" s="197"/>
    </row>
    <row r="52" spans="2:12" x14ac:dyDescent="0.25">
      <c r="B52" s="563"/>
      <c r="C52" s="564" t="s">
        <v>368</v>
      </c>
      <c r="D52" s="564"/>
      <c r="E52" s="564">
        <v>1.7</v>
      </c>
      <c r="F52" s="564">
        <v>80</v>
      </c>
      <c r="G52" s="48"/>
      <c r="H52" s="12"/>
      <c r="I52" s="12"/>
      <c r="J52" s="565"/>
      <c r="K52" s="12"/>
      <c r="L52" s="197"/>
    </row>
    <row r="53" spans="2:12" x14ac:dyDescent="0.25">
      <c r="B53" s="563"/>
      <c r="C53" s="564" t="s">
        <v>375</v>
      </c>
      <c r="D53" s="564"/>
      <c r="E53" s="564">
        <v>1.7</v>
      </c>
      <c r="F53" s="564">
        <v>80</v>
      </c>
      <c r="G53" s="48"/>
      <c r="H53" s="12"/>
      <c r="I53" s="12"/>
      <c r="J53" s="565"/>
      <c r="K53" s="12"/>
      <c r="L53" s="197"/>
    </row>
    <row r="54" spans="2:12" x14ac:dyDescent="0.25">
      <c r="B54" s="563"/>
      <c r="C54" s="579" t="s">
        <v>196</v>
      </c>
      <c r="D54" s="579">
        <v>0.05</v>
      </c>
      <c r="E54" s="579">
        <v>1.7</v>
      </c>
      <c r="F54" s="579">
        <v>80</v>
      </c>
      <c r="G54" s="48"/>
      <c r="H54" s="12"/>
      <c r="I54" s="12"/>
      <c r="J54" s="565"/>
      <c r="K54" s="12"/>
      <c r="L54" s="197"/>
    </row>
    <row r="55" spans="2:12" x14ac:dyDescent="0.25">
      <c r="B55" s="1268"/>
      <c r="C55" s="585"/>
      <c r="D55" s="585"/>
      <c r="E55" s="585"/>
      <c r="F55" s="585"/>
      <c r="G55" s="585"/>
      <c r="H55" s="585"/>
      <c r="I55" s="585"/>
      <c r="J55" s="586"/>
      <c r="K55" s="1272"/>
      <c r="L55" s="587"/>
    </row>
    <row r="56" spans="2:12" x14ac:dyDescent="0.25">
      <c r="B56" s="594">
        <v>46244</v>
      </c>
      <c r="C56" s="571" t="s">
        <v>197</v>
      </c>
      <c r="D56" s="571">
        <v>0.5</v>
      </c>
      <c r="E56" s="571">
        <v>1.7</v>
      </c>
      <c r="F56" s="571">
        <v>80</v>
      </c>
      <c r="G56" s="282" t="s">
        <v>232</v>
      </c>
      <c r="H56" s="328" t="s">
        <v>22</v>
      </c>
      <c r="I56" s="328" t="s">
        <v>230</v>
      </c>
      <c r="J56" s="588">
        <v>29</v>
      </c>
      <c r="K56" s="96" t="s">
        <v>66</v>
      </c>
      <c r="L56" s="256"/>
    </row>
    <row r="57" spans="2:12" x14ac:dyDescent="0.25">
      <c r="B57" s="574"/>
      <c r="C57" s="571" t="s">
        <v>389</v>
      </c>
      <c r="D57" s="571">
        <v>0.75</v>
      </c>
      <c r="E57" s="571">
        <v>1.7</v>
      </c>
      <c r="F57" s="571">
        <v>80</v>
      </c>
      <c r="G57" s="48"/>
      <c r="H57" s="12" t="s">
        <v>390</v>
      </c>
      <c r="I57" s="12"/>
      <c r="J57" s="565"/>
      <c r="K57" s="123"/>
      <c r="L57" s="595" t="s">
        <v>394</v>
      </c>
    </row>
    <row r="58" spans="2:12" x14ac:dyDescent="0.25">
      <c r="B58" s="574"/>
      <c r="C58" s="564" t="s">
        <v>372</v>
      </c>
      <c r="D58" s="564">
        <v>0.75</v>
      </c>
      <c r="E58" s="564">
        <v>1.7</v>
      </c>
      <c r="F58" s="564">
        <v>80</v>
      </c>
      <c r="G58" s="48"/>
      <c r="H58" s="222"/>
      <c r="I58" s="222"/>
      <c r="J58" s="576"/>
      <c r="K58" s="222"/>
      <c r="L58" s="577"/>
    </row>
    <row r="59" spans="2:12" x14ac:dyDescent="0.25">
      <c r="B59" s="574"/>
      <c r="C59" s="564" t="s">
        <v>373</v>
      </c>
      <c r="D59" s="564"/>
      <c r="E59" s="564">
        <v>1.7</v>
      </c>
      <c r="F59" s="564">
        <v>80</v>
      </c>
      <c r="G59" s="48"/>
      <c r="H59" s="222"/>
      <c r="I59" s="222"/>
      <c r="J59" s="576"/>
      <c r="K59" s="222"/>
      <c r="L59" s="577"/>
    </row>
    <row r="60" spans="2:12" x14ac:dyDescent="0.25">
      <c r="B60" s="574"/>
      <c r="C60" s="564" t="s">
        <v>374</v>
      </c>
      <c r="D60" s="564">
        <v>1.8</v>
      </c>
      <c r="E60" s="564">
        <v>1.7</v>
      </c>
      <c r="F60" s="564">
        <v>80</v>
      </c>
      <c r="G60" s="48"/>
      <c r="H60" s="222"/>
      <c r="I60" s="222"/>
      <c r="J60" s="576"/>
      <c r="K60" s="222"/>
      <c r="L60" s="577"/>
    </row>
    <row r="61" spans="2:12" x14ac:dyDescent="0.25">
      <c r="B61" s="574"/>
      <c r="C61" s="564" t="s">
        <v>368</v>
      </c>
      <c r="D61" s="564"/>
      <c r="E61" s="564">
        <v>1.7</v>
      </c>
      <c r="F61" s="564">
        <v>80</v>
      </c>
      <c r="G61" s="48"/>
      <c r="H61" s="222"/>
      <c r="I61" s="222"/>
      <c r="J61" s="576"/>
      <c r="K61" s="222"/>
      <c r="L61" s="577"/>
    </row>
    <row r="62" spans="2:12" x14ac:dyDescent="0.25">
      <c r="B62" s="574"/>
      <c r="C62" s="564" t="s">
        <v>375</v>
      </c>
      <c r="D62" s="564"/>
      <c r="E62" s="564">
        <v>1.7</v>
      </c>
      <c r="F62" s="564">
        <v>80</v>
      </c>
      <c r="G62" s="48"/>
      <c r="H62" s="222"/>
      <c r="I62" s="222"/>
      <c r="J62" s="576"/>
      <c r="K62" s="222"/>
      <c r="L62" s="577"/>
    </row>
    <row r="63" spans="2:12" x14ac:dyDescent="0.25">
      <c r="B63" s="574"/>
      <c r="C63" s="579" t="s">
        <v>196</v>
      </c>
      <c r="D63" s="579">
        <v>0.05</v>
      </c>
      <c r="E63" s="579">
        <v>1.7</v>
      </c>
      <c r="F63" s="579">
        <v>80</v>
      </c>
      <c r="G63" s="48"/>
      <c r="H63" s="222"/>
      <c r="I63" s="222"/>
      <c r="J63" s="576"/>
      <c r="K63" s="222"/>
      <c r="L63" s="577"/>
    </row>
    <row r="64" spans="2:12" x14ac:dyDescent="0.25">
      <c r="B64" s="563"/>
      <c r="C64" s="585"/>
      <c r="D64" s="585"/>
      <c r="E64" s="585"/>
      <c r="F64" s="585"/>
      <c r="G64" s="585"/>
      <c r="H64" s="585"/>
      <c r="I64" s="585"/>
      <c r="J64" s="585"/>
      <c r="K64" s="585"/>
      <c r="L64" s="197"/>
    </row>
    <row r="65" spans="2:12" x14ac:dyDescent="0.25">
      <c r="B65" s="570">
        <v>46265</v>
      </c>
      <c r="C65" s="571" t="s">
        <v>199</v>
      </c>
      <c r="D65" s="571">
        <v>1.8</v>
      </c>
      <c r="E65" s="571">
        <v>1.7</v>
      </c>
      <c r="F65" s="571">
        <v>80</v>
      </c>
      <c r="G65" s="48" t="s">
        <v>232</v>
      </c>
      <c r="H65" s="12" t="s">
        <v>383</v>
      </c>
      <c r="I65" s="222" t="s">
        <v>230</v>
      </c>
      <c r="J65" s="576"/>
      <c r="K65" s="222"/>
      <c r="L65" s="197"/>
    </row>
    <row r="66" spans="2:12" x14ac:dyDescent="0.25">
      <c r="B66" s="563"/>
      <c r="C66" s="571" t="s">
        <v>198</v>
      </c>
      <c r="D66" s="571">
        <v>0.75</v>
      </c>
      <c r="E66" s="571">
        <v>1.7</v>
      </c>
      <c r="F66" s="571">
        <v>80</v>
      </c>
      <c r="G66" s="48"/>
      <c r="H66" s="12" t="s">
        <v>390</v>
      </c>
      <c r="I66" s="12"/>
      <c r="J66" s="565"/>
      <c r="K66" s="12"/>
      <c r="L66" s="595" t="s">
        <v>394</v>
      </c>
    </row>
    <row r="67" spans="2:12" x14ac:dyDescent="0.25">
      <c r="B67" s="563"/>
      <c r="C67" s="564" t="s">
        <v>372</v>
      </c>
      <c r="D67" s="564">
        <v>0.75</v>
      </c>
      <c r="E67" s="564">
        <v>1.7</v>
      </c>
      <c r="F67" s="564">
        <v>80</v>
      </c>
      <c r="G67" s="48"/>
      <c r="H67" s="12"/>
      <c r="I67" s="12"/>
      <c r="J67" s="565"/>
      <c r="K67" s="145"/>
      <c r="L67" s="197"/>
    </row>
    <row r="68" spans="2:12" x14ac:dyDescent="0.25">
      <c r="B68" s="563"/>
      <c r="C68" s="564" t="s">
        <v>373</v>
      </c>
      <c r="D68" s="564"/>
      <c r="E68" s="564">
        <v>1.7</v>
      </c>
      <c r="F68" s="564">
        <v>80</v>
      </c>
      <c r="G68" s="48"/>
      <c r="H68" s="12"/>
      <c r="I68" s="12"/>
      <c r="J68" s="565"/>
      <c r="K68" s="145"/>
      <c r="L68" s="197"/>
    </row>
    <row r="69" spans="2:12" x14ac:dyDescent="0.25">
      <c r="B69" s="563"/>
      <c r="C69" s="564" t="s">
        <v>374</v>
      </c>
      <c r="D69" s="564">
        <v>1.8</v>
      </c>
      <c r="E69" s="564">
        <v>1.7</v>
      </c>
      <c r="F69" s="564">
        <v>80</v>
      </c>
      <c r="G69" s="48"/>
      <c r="H69" s="12"/>
      <c r="I69" s="12"/>
      <c r="J69" s="565"/>
      <c r="K69" s="145"/>
      <c r="L69" s="197"/>
    </row>
    <row r="70" spans="2:12" x14ac:dyDescent="0.25">
      <c r="B70" s="563"/>
      <c r="C70" s="564" t="s">
        <v>368</v>
      </c>
      <c r="D70" s="564"/>
      <c r="E70" s="564">
        <v>1.7</v>
      </c>
      <c r="F70" s="564">
        <v>80</v>
      </c>
      <c r="G70" s="48"/>
      <c r="H70" s="12"/>
      <c r="I70" s="12"/>
      <c r="J70" s="565"/>
      <c r="K70" s="145"/>
      <c r="L70" s="197"/>
    </row>
    <row r="71" spans="2:12" x14ac:dyDescent="0.25">
      <c r="B71" s="563"/>
      <c r="C71" s="564" t="s">
        <v>375</v>
      </c>
      <c r="D71" s="564"/>
      <c r="E71" s="564">
        <v>1.7</v>
      </c>
      <c r="F71" s="564">
        <v>80</v>
      </c>
      <c r="G71" s="48"/>
      <c r="H71" s="12"/>
      <c r="I71" s="12"/>
      <c r="J71" s="565"/>
      <c r="K71" s="145"/>
      <c r="L71" s="197"/>
    </row>
    <row r="72" spans="2:12" x14ac:dyDescent="0.25">
      <c r="B72" s="563"/>
      <c r="C72" s="579" t="s">
        <v>196</v>
      </c>
      <c r="D72" s="579">
        <v>0.05</v>
      </c>
      <c r="E72" s="579">
        <v>1.7</v>
      </c>
      <c r="F72" s="579">
        <v>80</v>
      </c>
      <c r="G72" s="48"/>
      <c r="H72" s="12"/>
      <c r="I72" s="12"/>
      <c r="J72" s="565"/>
      <c r="K72" s="145"/>
      <c r="L72" s="197"/>
    </row>
    <row r="73" spans="2:12" x14ac:dyDescent="0.25">
      <c r="B73" s="584"/>
      <c r="C73" s="585"/>
      <c r="D73" s="585"/>
      <c r="E73" s="585"/>
      <c r="F73" s="585"/>
      <c r="G73" s="585"/>
      <c r="H73" s="585"/>
      <c r="I73" s="585"/>
      <c r="J73" s="586"/>
      <c r="K73" s="618"/>
      <c r="L73" s="587"/>
    </row>
    <row r="74" spans="2:12" x14ac:dyDescent="0.25">
      <c r="B74" s="570">
        <v>46286</v>
      </c>
      <c r="C74" s="571" t="s">
        <v>370</v>
      </c>
      <c r="D74" s="571">
        <v>2</v>
      </c>
      <c r="E74" s="571">
        <v>1.7</v>
      </c>
      <c r="F74" s="571">
        <v>80</v>
      </c>
      <c r="G74" s="48" t="s">
        <v>232</v>
      </c>
      <c r="H74" s="12" t="s">
        <v>371</v>
      </c>
      <c r="I74" s="12" t="s">
        <v>258</v>
      </c>
      <c r="J74" s="565">
        <v>3</v>
      </c>
      <c r="K74" s="572" t="s">
        <v>48</v>
      </c>
      <c r="L74" s="197" t="s">
        <v>18</v>
      </c>
    </row>
    <row r="75" spans="2:12" x14ac:dyDescent="0.25">
      <c r="B75" s="570"/>
      <c r="C75" s="564" t="s">
        <v>372</v>
      </c>
      <c r="D75" s="564">
        <v>0.75</v>
      </c>
      <c r="E75" s="564">
        <v>1.7</v>
      </c>
      <c r="F75" s="564">
        <v>80</v>
      </c>
      <c r="G75" s="12"/>
      <c r="H75" s="12"/>
      <c r="I75" s="12"/>
      <c r="J75" s="565"/>
      <c r="K75" s="12"/>
      <c r="L75" s="596"/>
    </row>
    <row r="76" spans="2:12" x14ac:dyDescent="0.25">
      <c r="B76" s="563"/>
      <c r="C76" s="564" t="s">
        <v>373</v>
      </c>
      <c r="D76" s="564"/>
      <c r="E76" s="564">
        <v>1.7</v>
      </c>
      <c r="F76" s="564">
        <v>80</v>
      </c>
      <c r="G76" s="48"/>
      <c r="H76" s="12"/>
      <c r="I76" s="12"/>
      <c r="J76" s="565"/>
      <c r="K76" s="12"/>
      <c r="L76" s="197"/>
    </row>
    <row r="77" spans="2:12" x14ac:dyDescent="0.25">
      <c r="B77" s="563"/>
      <c r="C77" s="564" t="s">
        <v>374</v>
      </c>
      <c r="D77" s="564">
        <v>1.8</v>
      </c>
      <c r="E77" s="564">
        <v>1.7</v>
      </c>
      <c r="F77" s="564">
        <v>80</v>
      </c>
      <c r="G77" s="48"/>
      <c r="H77" s="12"/>
      <c r="I77" s="12"/>
      <c r="J77" s="565"/>
      <c r="K77" s="12"/>
      <c r="L77" s="197"/>
    </row>
    <row r="78" spans="2:12" x14ac:dyDescent="0.25">
      <c r="B78" s="563"/>
      <c r="C78" s="564" t="s">
        <v>368</v>
      </c>
      <c r="D78" s="564"/>
      <c r="E78" s="564">
        <v>1.7</v>
      </c>
      <c r="F78" s="564">
        <v>80</v>
      </c>
      <c r="G78" s="48"/>
      <c r="H78" s="12"/>
      <c r="I78" s="12"/>
      <c r="J78" s="565"/>
      <c r="K78" s="12"/>
      <c r="L78" s="197"/>
    </row>
    <row r="79" spans="2:12" x14ac:dyDescent="0.25">
      <c r="B79" s="574"/>
      <c r="C79" s="1273" t="s">
        <v>375</v>
      </c>
      <c r="D79" s="1273"/>
      <c r="E79" s="1273">
        <v>1.7</v>
      </c>
      <c r="F79" s="1273">
        <v>80</v>
      </c>
      <c r="G79" s="575"/>
      <c r="H79" s="222"/>
      <c r="I79" s="222"/>
      <c r="J79" s="576"/>
      <c r="K79" s="222"/>
      <c r="L79" s="577"/>
    </row>
    <row r="80" spans="2:12" x14ac:dyDescent="0.25">
      <c r="B80" s="574"/>
      <c r="C80" s="580" t="s">
        <v>196</v>
      </c>
      <c r="D80" s="580">
        <v>0.05</v>
      </c>
      <c r="E80" s="580">
        <v>1.7</v>
      </c>
      <c r="F80" s="580">
        <v>80</v>
      </c>
      <c r="G80" s="575"/>
      <c r="H80" s="222"/>
      <c r="I80" s="222"/>
      <c r="J80" s="576"/>
      <c r="K80" s="222"/>
      <c r="L80" s="577"/>
    </row>
    <row r="81" spans="2:12" x14ac:dyDescent="0.25">
      <c r="B81" s="1269"/>
      <c r="C81" s="722"/>
      <c r="D81" s="722"/>
      <c r="E81" s="722"/>
      <c r="F81" s="722"/>
      <c r="G81" s="722"/>
      <c r="H81" s="722"/>
      <c r="I81" s="722"/>
      <c r="J81" s="722"/>
      <c r="K81" s="722"/>
      <c r="L81" s="1271"/>
    </row>
    <row r="82" spans="2:12" x14ac:dyDescent="0.25">
      <c r="B82" s="570">
        <v>45936</v>
      </c>
      <c r="C82" s="593" t="s">
        <v>395</v>
      </c>
      <c r="D82" s="593">
        <v>0.45</v>
      </c>
      <c r="E82" s="593">
        <v>1.7</v>
      </c>
      <c r="F82" s="593">
        <v>30</v>
      </c>
      <c r="G82" s="12"/>
      <c r="H82" s="12"/>
      <c r="I82" s="12"/>
      <c r="J82" s="12"/>
      <c r="K82" s="12"/>
      <c r="L82" s="197" t="s">
        <v>361</v>
      </c>
    </row>
    <row r="83" spans="2:12" x14ac:dyDescent="0.25">
      <c r="B83" s="563"/>
      <c r="C83" s="593" t="s">
        <v>396</v>
      </c>
      <c r="D83" s="593">
        <v>0.9</v>
      </c>
      <c r="E83" s="593">
        <v>1.7</v>
      </c>
      <c r="F83" s="593">
        <v>30</v>
      </c>
      <c r="G83" s="12"/>
      <c r="H83" s="12"/>
      <c r="I83" s="12"/>
      <c r="J83" s="12"/>
      <c r="K83" s="12"/>
      <c r="L83" s="197"/>
    </row>
    <row r="84" spans="2:12" x14ac:dyDescent="0.25">
      <c r="B84" s="574"/>
      <c r="C84" s="1287" t="s">
        <v>397</v>
      </c>
      <c r="D84" s="1287" t="s">
        <v>377</v>
      </c>
      <c r="E84" s="1287">
        <v>1.7</v>
      </c>
      <c r="F84" s="1287">
        <v>30</v>
      </c>
      <c r="G84" s="222"/>
      <c r="H84" s="222"/>
      <c r="I84" s="222"/>
      <c r="J84" s="222"/>
      <c r="K84" s="222"/>
      <c r="L84" s="577"/>
    </row>
    <row r="85" spans="2:12" x14ac:dyDescent="0.25">
      <c r="B85" s="563"/>
      <c r="C85" s="722"/>
      <c r="D85" s="722"/>
      <c r="E85" s="722"/>
      <c r="F85" s="722"/>
      <c r="G85" s="722"/>
      <c r="H85" s="722"/>
      <c r="I85" s="722"/>
      <c r="J85" s="722"/>
      <c r="K85" s="722"/>
      <c r="L85" s="197"/>
    </row>
    <row r="86" spans="2:12" x14ac:dyDescent="0.25">
      <c r="B86" s="570">
        <v>45943</v>
      </c>
      <c r="C86" s="593" t="s">
        <v>395</v>
      </c>
      <c r="D86" s="593">
        <v>0.45</v>
      </c>
      <c r="E86" s="593">
        <v>1.7</v>
      </c>
      <c r="F86" s="593">
        <v>80</v>
      </c>
      <c r="G86" s="12"/>
      <c r="H86" s="12"/>
      <c r="I86" s="12"/>
      <c r="J86" s="12"/>
      <c r="K86" s="12"/>
      <c r="L86" s="197"/>
    </row>
    <row r="87" spans="2:12" x14ac:dyDescent="0.25">
      <c r="B87" s="597"/>
      <c r="C87" s="1274" t="s">
        <v>398</v>
      </c>
      <c r="D87" s="1274">
        <v>0.09</v>
      </c>
      <c r="E87" s="1274">
        <v>1.7</v>
      </c>
      <c r="F87" s="1274">
        <v>80</v>
      </c>
      <c r="G87" s="598"/>
      <c r="H87" s="598"/>
      <c r="I87" s="598"/>
      <c r="J87" s="598"/>
      <c r="K87" s="598"/>
      <c r="L87" s="599"/>
    </row>
  </sheetData>
  <mergeCells count="1">
    <mergeCell ref="E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87DF-A69C-4E6E-B3BE-53FC8AADD24A}">
  <sheetPr>
    <tabColor rgb="FFFFC000"/>
  </sheetPr>
  <dimension ref="B1:P45"/>
  <sheetViews>
    <sheetView topLeftCell="A5" workbookViewId="0">
      <selection activeCell="A38" sqref="A38:XFD38"/>
    </sheetView>
  </sheetViews>
  <sheetFormatPr defaultRowHeight="15" x14ac:dyDescent="0.25"/>
  <cols>
    <col min="2" max="2" width="20.7109375" bestFit="1" customWidth="1"/>
    <col min="3" max="3" width="11.85546875" bestFit="1" customWidth="1"/>
    <col min="4" max="4" width="11.140625" bestFit="1" customWidth="1"/>
    <col min="5" max="5" width="6" bestFit="1" customWidth="1"/>
    <col min="6" max="6" width="37.7109375" bestFit="1" customWidth="1"/>
    <col min="7" max="7" width="15.7109375" bestFit="1" customWidth="1"/>
    <col min="8" max="8" width="5.7109375" bestFit="1" customWidth="1"/>
    <col min="9" max="9" width="13.7109375" bestFit="1" customWidth="1"/>
    <col min="10" max="10" width="5.7109375" bestFit="1" customWidth="1"/>
    <col min="11" max="11" width="18.140625" bestFit="1" customWidth="1"/>
    <col min="12" max="12" width="8" bestFit="1" customWidth="1"/>
    <col min="13" max="13" width="6.28515625" bestFit="1" customWidth="1"/>
    <col min="14" max="14" width="9.28515625" bestFit="1" customWidth="1"/>
  </cols>
  <sheetData>
    <row r="1" spans="2:16" ht="26.25" x14ac:dyDescent="0.4">
      <c r="F1" s="600" t="s">
        <v>399</v>
      </c>
    </row>
    <row r="2" spans="2:16" ht="18.75" x14ac:dyDescent="0.3">
      <c r="B2" s="617" t="s">
        <v>99</v>
      </c>
      <c r="C2" s="262" t="s">
        <v>100</v>
      </c>
      <c r="D2" s="261" t="s">
        <v>215</v>
      </c>
      <c r="E2" s="261" t="s">
        <v>5</v>
      </c>
      <c r="F2" s="261" t="s">
        <v>102</v>
      </c>
      <c r="G2" s="261" t="s">
        <v>136</v>
      </c>
      <c r="H2" s="261" t="s">
        <v>105</v>
      </c>
      <c r="I2" s="261" t="s">
        <v>104</v>
      </c>
      <c r="J2" s="261" t="s">
        <v>105</v>
      </c>
      <c r="K2" s="261" t="s">
        <v>137</v>
      </c>
      <c r="L2" s="261" t="s">
        <v>106</v>
      </c>
      <c r="M2" s="261" t="s">
        <v>107</v>
      </c>
    </row>
    <row r="3" spans="2:16" x14ac:dyDescent="0.25">
      <c r="B3" s="645" t="s">
        <v>400</v>
      </c>
      <c r="C3" s="601">
        <v>1</v>
      </c>
      <c r="D3" s="602">
        <v>0.84</v>
      </c>
      <c r="E3" s="602">
        <v>8</v>
      </c>
      <c r="F3">
        <v>348.5</v>
      </c>
      <c r="G3" s="602">
        <f>ROUNDUP(D3*F3/128,0)</f>
        <v>3</v>
      </c>
      <c r="H3" s="602" t="s">
        <v>401</v>
      </c>
      <c r="I3" s="602">
        <v>1</v>
      </c>
      <c r="J3" s="602" t="s">
        <v>402</v>
      </c>
      <c r="K3" s="602">
        <f t="shared" ref="K3:K10" si="0">ROUNDUP(G3/I3,0)</f>
        <v>3</v>
      </c>
      <c r="L3" s="602">
        <v>0</v>
      </c>
      <c r="M3" s="603">
        <f>ROUNDUP(K3-L3+1,0)</f>
        <v>4</v>
      </c>
      <c r="N3" t="s">
        <v>403</v>
      </c>
      <c r="O3" s="424"/>
    </row>
    <row r="4" spans="2:16" x14ac:dyDescent="0.25">
      <c r="B4" s="645" t="s">
        <v>370</v>
      </c>
      <c r="C4" s="604">
        <v>2</v>
      </c>
      <c r="D4" s="605">
        <v>2</v>
      </c>
      <c r="E4" s="605">
        <v>80</v>
      </c>
      <c r="F4">
        <v>3485</v>
      </c>
      <c r="G4" s="602">
        <f>ROUNDUP(D4*F4/128*C4,0)</f>
        <v>109</v>
      </c>
      <c r="H4" s="605" t="s">
        <v>401</v>
      </c>
      <c r="I4" s="605">
        <v>2.5</v>
      </c>
      <c r="J4" s="605" t="s">
        <v>108</v>
      </c>
      <c r="K4" s="602">
        <f t="shared" si="0"/>
        <v>44</v>
      </c>
      <c r="L4" s="602">
        <v>0</v>
      </c>
      <c r="M4" s="603">
        <f t="shared" ref="M4:M10" si="1">ROUNDUP(K4-L4,0)</f>
        <v>44</v>
      </c>
      <c r="O4" s="424"/>
      <c r="P4" s="424"/>
    </row>
    <row r="5" spans="2:16" x14ac:dyDescent="0.25">
      <c r="B5" s="411" t="s">
        <v>199</v>
      </c>
      <c r="C5" s="604">
        <v>3</v>
      </c>
      <c r="D5" s="605">
        <v>1.8</v>
      </c>
      <c r="E5" s="605">
        <v>80</v>
      </c>
      <c r="F5">
        <v>3485</v>
      </c>
      <c r="G5" s="602">
        <f>ROUNDUP(D5*F5/128*C5,0)</f>
        <v>148</v>
      </c>
      <c r="H5" s="605" t="s">
        <v>401</v>
      </c>
      <c r="I5" s="605">
        <v>2.5</v>
      </c>
      <c r="J5" s="605" t="s">
        <v>402</v>
      </c>
      <c r="K5" s="602">
        <f t="shared" si="0"/>
        <v>60</v>
      </c>
      <c r="L5" s="602">
        <v>5</v>
      </c>
      <c r="M5" s="603">
        <f t="shared" si="1"/>
        <v>55</v>
      </c>
    </row>
    <row r="6" spans="2:16" x14ac:dyDescent="0.25">
      <c r="B6" s="411" t="s">
        <v>197</v>
      </c>
      <c r="C6" s="604">
        <v>2</v>
      </c>
      <c r="D6" s="605">
        <v>0.5</v>
      </c>
      <c r="E6" s="605">
        <v>80</v>
      </c>
      <c r="F6">
        <v>3485</v>
      </c>
      <c r="G6" s="602">
        <f>ROUNDUP(D6*F6/128*C6,0)</f>
        <v>28</v>
      </c>
      <c r="H6" s="605" t="s">
        <v>401</v>
      </c>
      <c r="I6" s="605">
        <v>1</v>
      </c>
      <c r="J6" s="605" t="s">
        <v>401</v>
      </c>
      <c r="K6" s="602">
        <f t="shared" si="0"/>
        <v>28</v>
      </c>
      <c r="L6" s="602">
        <v>0</v>
      </c>
      <c r="M6" s="603">
        <f t="shared" si="1"/>
        <v>28</v>
      </c>
    </row>
    <row r="7" spans="2:16" x14ac:dyDescent="0.25">
      <c r="B7" s="411" t="s">
        <v>404</v>
      </c>
      <c r="C7" s="604">
        <v>1</v>
      </c>
      <c r="D7" s="605">
        <v>2.08</v>
      </c>
      <c r="E7" s="605">
        <v>80</v>
      </c>
      <c r="F7">
        <v>3485</v>
      </c>
      <c r="G7" s="602">
        <f>ROUNDUP(D7*F7/128*C7,0)</f>
        <v>57</v>
      </c>
      <c r="H7" s="605" t="s">
        <v>401</v>
      </c>
      <c r="I7" s="605">
        <v>2.5</v>
      </c>
      <c r="J7" s="605" t="s">
        <v>401</v>
      </c>
      <c r="K7" s="602">
        <f t="shared" si="0"/>
        <v>23</v>
      </c>
      <c r="L7" s="602">
        <v>1</v>
      </c>
      <c r="M7" s="603">
        <f t="shared" si="1"/>
        <v>22</v>
      </c>
    </row>
    <row r="8" spans="2:16" x14ac:dyDescent="0.25">
      <c r="B8" s="363" t="s">
        <v>405</v>
      </c>
      <c r="C8">
        <v>2</v>
      </c>
      <c r="D8">
        <v>0.75</v>
      </c>
      <c r="E8">
        <v>80</v>
      </c>
      <c r="F8">
        <v>3485</v>
      </c>
      <c r="G8" s="602">
        <f>ROUNDUP(D8*F8/128*C8,0)</f>
        <v>41</v>
      </c>
      <c r="H8" t="s">
        <v>401</v>
      </c>
      <c r="I8">
        <v>1</v>
      </c>
      <c r="J8" t="s">
        <v>108</v>
      </c>
      <c r="K8" s="602">
        <f t="shared" si="0"/>
        <v>41</v>
      </c>
      <c r="L8">
        <v>4</v>
      </c>
      <c r="M8" s="603">
        <f t="shared" si="1"/>
        <v>37</v>
      </c>
    </row>
    <row r="9" spans="2:16" x14ac:dyDescent="0.25">
      <c r="B9" s="363" t="s">
        <v>406</v>
      </c>
      <c r="C9">
        <v>0</v>
      </c>
      <c r="D9">
        <v>0.27</v>
      </c>
      <c r="E9">
        <v>80</v>
      </c>
      <c r="F9">
        <v>3485</v>
      </c>
      <c r="G9" s="602">
        <f>ROUNDUP(D9*F9/16*C9,0)</f>
        <v>0</v>
      </c>
      <c r="H9" t="s">
        <v>121</v>
      </c>
      <c r="I9">
        <v>6</v>
      </c>
      <c r="J9" t="s">
        <v>121</v>
      </c>
      <c r="K9" s="602">
        <f t="shared" si="0"/>
        <v>0</v>
      </c>
      <c r="L9">
        <v>0</v>
      </c>
      <c r="M9" s="603">
        <f t="shared" si="1"/>
        <v>0</v>
      </c>
    </row>
    <row r="10" spans="2:16" x14ac:dyDescent="0.25">
      <c r="B10" s="369" t="s">
        <v>198</v>
      </c>
      <c r="C10" s="258">
        <v>2</v>
      </c>
      <c r="D10" s="258">
        <v>4</v>
      </c>
      <c r="E10" s="258">
        <v>80</v>
      </c>
      <c r="F10" s="258">
        <v>3485</v>
      </c>
      <c r="G10" s="616">
        <f>ROUNDUP(D10*F10/128*C10,0)</f>
        <v>218</v>
      </c>
      <c r="H10" s="258" t="s">
        <v>401</v>
      </c>
      <c r="I10" s="258">
        <v>2.5</v>
      </c>
      <c r="J10" s="258" t="s">
        <v>108</v>
      </c>
      <c r="K10" s="616">
        <f t="shared" si="0"/>
        <v>88</v>
      </c>
      <c r="L10" s="258">
        <v>6</v>
      </c>
      <c r="M10" s="609">
        <f t="shared" si="1"/>
        <v>82</v>
      </c>
    </row>
    <row r="13" spans="2:16" x14ac:dyDescent="0.25">
      <c r="B13" s="606" t="s">
        <v>192</v>
      </c>
      <c r="C13" s="262" t="s">
        <v>100</v>
      </c>
      <c r="D13" s="261" t="s">
        <v>215</v>
      </c>
      <c r="E13" s="261" t="s">
        <v>5</v>
      </c>
      <c r="F13" s="261" t="s">
        <v>102</v>
      </c>
      <c r="G13" s="261" t="s">
        <v>136</v>
      </c>
      <c r="H13" s="261" t="s">
        <v>105</v>
      </c>
      <c r="I13" s="261" t="s">
        <v>104</v>
      </c>
      <c r="J13" s="261" t="s">
        <v>105</v>
      </c>
      <c r="K13" s="261" t="s">
        <v>137</v>
      </c>
      <c r="L13" s="261" t="s">
        <v>106</v>
      </c>
      <c r="M13" s="261" t="s">
        <v>107</v>
      </c>
    </row>
    <row r="14" spans="2:16" x14ac:dyDescent="0.25">
      <c r="B14" s="369" t="s">
        <v>196</v>
      </c>
      <c r="C14" s="258">
        <v>7</v>
      </c>
      <c r="D14" s="258">
        <v>0.1</v>
      </c>
      <c r="E14" s="258">
        <v>80</v>
      </c>
      <c r="F14" s="258">
        <v>3485</v>
      </c>
      <c r="G14" s="258">
        <f>ROUNDUP(D14*F14*C14/128,0)</f>
        <v>20</v>
      </c>
      <c r="H14" s="258" t="s">
        <v>401</v>
      </c>
      <c r="I14" s="258">
        <v>2.5</v>
      </c>
      <c r="J14" s="607" t="s">
        <v>108</v>
      </c>
      <c r="K14" s="608">
        <f>SUM(G14/I14)</f>
        <v>8</v>
      </c>
      <c r="L14" s="258">
        <v>0</v>
      </c>
      <c r="M14" s="609">
        <f>SUM(K14-L14)</f>
        <v>8</v>
      </c>
    </row>
    <row r="16" spans="2:16" x14ac:dyDescent="0.25">
      <c r="B16" s="611" t="s">
        <v>127</v>
      </c>
      <c r="C16" s="261" t="s">
        <v>100</v>
      </c>
      <c r="D16" s="261" t="s">
        <v>215</v>
      </c>
      <c r="E16" s="261" t="s">
        <v>5</v>
      </c>
      <c r="F16" s="261" t="s">
        <v>102</v>
      </c>
      <c r="G16" s="261" t="s">
        <v>136</v>
      </c>
      <c r="H16" s="261" t="s">
        <v>105</v>
      </c>
      <c r="I16" s="261" t="s">
        <v>104</v>
      </c>
      <c r="J16" s="261" t="s">
        <v>105</v>
      </c>
      <c r="K16" s="261" t="s">
        <v>137</v>
      </c>
      <c r="L16" s="261" t="s">
        <v>106</v>
      </c>
      <c r="M16" s="261" t="s">
        <v>107</v>
      </c>
    </row>
    <row r="17" spans="2:15" x14ac:dyDescent="0.25">
      <c r="B17" s="379" t="s">
        <v>385</v>
      </c>
      <c r="C17" s="379">
        <v>1</v>
      </c>
      <c r="D17" s="379">
        <v>1.5</v>
      </c>
      <c r="E17" s="379">
        <v>8</v>
      </c>
      <c r="F17" s="379">
        <v>348</v>
      </c>
      <c r="G17" s="462">
        <f>ROUNDUP(D17*F17*C17,0)</f>
        <v>522</v>
      </c>
      <c r="H17" s="375" t="s">
        <v>112</v>
      </c>
      <c r="I17" s="462">
        <v>64</v>
      </c>
      <c r="J17" s="375" t="s">
        <v>112</v>
      </c>
      <c r="K17" s="462">
        <f>ROUNDUP(G17/I17,0)</f>
        <v>9</v>
      </c>
      <c r="L17" s="375">
        <v>2</v>
      </c>
      <c r="M17" s="379">
        <f>ROUNDUP(K17-L17,0)</f>
        <v>7</v>
      </c>
      <c r="N17" s="1296" t="s">
        <v>407</v>
      </c>
    </row>
    <row r="18" spans="2:15" x14ac:dyDescent="0.25">
      <c r="B18" s="379" t="s">
        <v>387</v>
      </c>
      <c r="C18" s="379">
        <v>1</v>
      </c>
      <c r="D18" s="379">
        <v>0.03</v>
      </c>
      <c r="E18" s="379">
        <v>80</v>
      </c>
      <c r="F18" s="379">
        <v>3485</v>
      </c>
      <c r="G18" s="462">
        <f t="shared" ref="G18:G19" si="2">ROUNDUP(D18*F18*C18,0)</f>
        <v>105</v>
      </c>
      <c r="H18" s="375" t="s">
        <v>112</v>
      </c>
      <c r="I18" s="462">
        <v>4</v>
      </c>
      <c r="J18" s="375" t="s">
        <v>112</v>
      </c>
      <c r="K18" s="462">
        <f>ROUNDUP(G18/I18,0)</f>
        <v>27</v>
      </c>
      <c r="L18" s="375">
        <v>26</v>
      </c>
      <c r="M18" s="379">
        <f t="shared" ref="M18:M22" si="3">ROUNDUP(K18-L18,0)</f>
        <v>1</v>
      </c>
      <c r="N18" s="1296" t="s">
        <v>408</v>
      </c>
    </row>
    <row r="19" spans="2:15" x14ac:dyDescent="0.25">
      <c r="B19" s="610" t="s">
        <v>409</v>
      </c>
      <c r="C19" s="610">
        <v>1</v>
      </c>
      <c r="D19" s="610">
        <v>0.23</v>
      </c>
      <c r="E19" s="610">
        <v>80</v>
      </c>
      <c r="F19" s="379">
        <v>3485</v>
      </c>
      <c r="G19" s="462">
        <f t="shared" si="2"/>
        <v>802</v>
      </c>
      <c r="H19" s="460" t="s">
        <v>112</v>
      </c>
      <c r="I19" s="391">
        <v>40</v>
      </c>
      <c r="J19" s="460" t="s">
        <v>112</v>
      </c>
      <c r="K19" s="391">
        <f>ROUNDUP(G19/I19,0)</f>
        <v>21</v>
      </c>
      <c r="L19" s="460">
        <v>15</v>
      </c>
      <c r="M19" s="379">
        <f t="shared" si="3"/>
        <v>6</v>
      </c>
      <c r="N19" s="1296" t="s">
        <v>410</v>
      </c>
    </row>
    <row r="20" spans="2:15" x14ac:dyDescent="0.25">
      <c r="B20" s="255" t="s">
        <v>411</v>
      </c>
      <c r="C20" s="255">
        <v>1</v>
      </c>
      <c r="D20" s="255">
        <v>1.8</v>
      </c>
      <c r="E20" s="255">
        <v>80</v>
      </c>
      <c r="F20" s="391">
        <v>3485</v>
      </c>
      <c r="G20" s="387">
        <f>ROUNDUP(D20*F20/128*C20,0)</f>
        <v>50</v>
      </c>
      <c r="H20" t="s">
        <v>401</v>
      </c>
      <c r="I20" s="363">
        <v>2.5</v>
      </c>
      <c r="J20" t="s">
        <v>401</v>
      </c>
      <c r="K20" s="363">
        <f>ROUNDUP(G20/I20,0)</f>
        <v>20</v>
      </c>
      <c r="L20">
        <v>10</v>
      </c>
      <c r="M20" s="379">
        <f t="shared" si="3"/>
        <v>10</v>
      </c>
      <c r="N20" s="1296"/>
    </row>
    <row r="21" spans="2:15" x14ac:dyDescent="0.25">
      <c r="B21" s="391" t="s">
        <v>412</v>
      </c>
      <c r="C21" s="391">
        <v>1</v>
      </c>
      <c r="D21" s="391">
        <v>0.45</v>
      </c>
      <c r="E21" s="610">
        <v>80</v>
      </c>
      <c r="F21" s="391">
        <v>3485</v>
      </c>
      <c r="G21" s="387">
        <f>ROUNDUP(D21*F21/16*C21,0)</f>
        <v>99</v>
      </c>
      <c r="H21" s="391" t="s">
        <v>169</v>
      </c>
      <c r="I21" s="391">
        <v>5</v>
      </c>
      <c r="J21" s="610" t="s">
        <v>169</v>
      </c>
      <c r="K21" s="391">
        <f>ROUNDUP(G21/I21,0)</f>
        <v>20</v>
      </c>
      <c r="L21" s="380">
        <v>0</v>
      </c>
      <c r="M21" s="462">
        <f t="shared" si="3"/>
        <v>20</v>
      </c>
    </row>
    <row r="22" spans="2:15" x14ac:dyDescent="0.25">
      <c r="B22" s="391" t="s">
        <v>398</v>
      </c>
      <c r="C22" s="391">
        <v>1</v>
      </c>
      <c r="D22" s="391">
        <v>0.09</v>
      </c>
      <c r="E22" s="610">
        <v>80</v>
      </c>
      <c r="F22" s="610">
        <v>3485</v>
      </c>
      <c r="G22" s="391">
        <f>ROUNDUP(D22*F22*C22,0)</f>
        <v>314</v>
      </c>
      <c r="H22" s="380"/>
      <c r="I22" s="391">
        <v>32</v>
      </c>
      <c r="J22" s="610" t="s">
        <v>112</v>
      </c>
      <c r="K22" s="369">
        <f t="shared" ref="K22" si="4">ROUNDUP(G22/I22,0)</f>
        <v>10</v>
      </c>
      <c r="L22" s="460">
        <v>4</v>
      </c>
      <c r="M22" s="391">
        <f t="shared" si="3"/>
        <v>6</v>
      </c>
      <c r="N22" t="s">
        <v>413</v>
      </c>
    </row>
    <row r="24" spans="2:15" x14ac:dyDescent="0.25">
      <c r="B24" s="612" t="s">
        <v>414</v>
      </c>
      <c r="C24" s="248" t="s">
        <v>100</v>
      </c>
      <c r="D24" s="613" t="s">
        <v>215</v>
      </c>
      <c r="E24" s="613" t="s">
        <v>5</v>
      </c>
      <c r="F24" s="613" t="s">
        <v>102</v>
      </c>
      <c r="G24" s="613" t="s">
        <v>136</v>
      </c>
      <c r="H24" s="613" t="s">
        <v>105</v>
      </c>
      <c r="I24" s="613" t="s">
        <v>104</v>
      </c>
      <c r="J24" s="613" t="s">
        <v>105</v>
      </c>
      <c r="K24" s="613" t="s">
        <v>137</v>
      </c>
      <c r="L24" s="613" t="s">
        <v>106</v>
      </c>
      <c r="M24" s="613" t="s">
        <v>107</v>
      </c>
    </row>
    <row r="25" spans="2:15" x14ac:dyDescent="0.25">
      <c r="B25" s="391" t="s">
        <v>415</v>
      </c>
      <c r="C25" s="391">
        <v>8</v>
      </c>
      <c r="D25" s="391">
        <v>1</v>
      </c>
      <c r="E25" s="391">
        <v>8</v>
      </c>
      <c r="F25" s="391">
        <v>350</v>
      </c>
      <c r="G25" s="391">
        <f>ROUNDUP(D25*F25/128*C25,0)</f>
        <v>22</v>
      </c>
      <c r="H25" s="391" t="s">
        <v>401</v>
      </c>
      <c r="I25" s="391">
        <v>2.5</v>
      </c>
      <c r="J25" s="391" t="s">
        <v>401</v>
      </c>
      <c r="K25" s="391">
        <f>SUM(G25/I25)</f>
        <v>8.8000000000000007</v>
      </c>
      <c r="L25" s="391">
        <v>6</v>
      </c>
      <c r="M25" s="391">
        <f t="shared" ref="M25:M26" si="5">ROUNDUP(K25-L25,0)</f>
        <v>3</v>
      </c>
    </row>
    <row r="26" spans="2:15" x14ac:dyDescent="0.25">
      <c r="B26" s="391" t="s">
        <v>416</v>
      </c>
      <c r="C26" s="391">
        <v>8</v>
      </c>
      <c r="D26" s="391">
        <v>0.09</v>
      </c>
      <c r="E26" s="391">
        <v>81</v>
      </c>
      <c r="F26" s="391">
        <v>3529</v>
      </c>
      <c r="G26" s="391">
        <f>ROUNDUP(D26*F26/16,0)*C26</f>
        <v>160</v>
      </c>
      <c r="H26" s="391" t="s">
        <v>169</v>
      </c>
      <c r="I26" s="391">
        <v>25</v>
      </c>
      <c r="J26" s="391" t="s">
        <v>169</v>
      </c>
      <c r="K26" s="391">
        <f>ROUNDUP(G26/I26,0)</f>
        <v>7</v>
      </c>
      <c r="L26" s="391">
        <v>0</v>
      </c>
      <c r="M26" s="391">
        <f t="shared" si="5"/>
        <v>7</v>
      </c>
      <c r="N26" t="s">
        <v>417</v>
      </c>
      <c r="O26" t="s">
        <v>418</v>
      </c>
    </row>
    <row r="27" spans="2:15" x14ac:dyDescent="0.25">
      <c r="B27" s="391" t="s">
        <v>419</v>
      </c>
      <c r="C27" s="391">
        <v>7</v>
      </c>
      <c r="D27" s="391">
        <v>1.8</v>
      </c>
      <c r="E27" s="391">
        <v>80</v>
      </c>
      <c r="F27" s="391">
        <v>3485</v>
      </c>
      <c r="G27" s="391">
        <f>ROUNDUP(D27*F27/128*C27,0)</f>
        <v>344</v>
      </c>
      <c r="H27" s="391" t="s">
        <v>401</v>
      </c>
      <c r="I27" s="391">
        <v>2.5</v>
      </c>
      <c r="J27" s="391" t="s">
        <v>401</v>
      </c>
      <c r="K27" s="391">
        <f>ROUNDUP(G27/I27,0)</f>
        <v>138</v>
      </c>
      <c r="L27" s="391">
        <v>0</v>
      </c>
      <c r="M27" s="391">
        <f>ROUNDUP(K27-L27,0)</f>
        <v>138</v>
      </c>
    </row>
    <row r="29" spans="2:15" x14ac:dyDescent="0.25">
      <c r="B29" s="612" t="s">
        <v>193</v>
      </c>
      <c r="C29" s="248" t="s">
        <v>100</v>
      </c>
      <c r="D29" s="613" t="s">
        <v>215</v>
      </c>
      <c r="E29" s="613" t="s">
        <v>5</v>
      </c>
      <c r="F29" s="613" t="s">
        <v>102</v>
      </c>
      <c r="G29" s="613" t="s">
        <v>136</v>
      </c>
      <c r="H29" s="613" t="s">
        <v>105</v>
      </c>
      <c r="I29" s="613" t="s">
        <v>104</v>
      </c>
      <c r="J29" s="613" t="s">
        <v>105</v>
      </c>
      <c r="K29" s="613" t="s">
        <v>137</v>
      </c>
      <c r="L29" s="613" t="s">
        <v>106</v>
      </c>
      <c r="M29" s="613" t="s">
        <v>107</v>
      </c>
    </row>
    <row r="30" spans="2:15" x14ac:dyDescent="0.25">
      <c r="B30" s="391" t="s">
        <v>133</v>
      </c>
      <c r="C30" s="391">
        <v>8</v>
      </c>
      <c r="D30" s="391">
        <v>4</v>
      </c>
      <c r="E30" s="391">
        <v>8</v>
      </c>
      <c r="F30" s="391">
        <v>350</v>
      </c>
      <c r="G30" s="391">
        <f>ROUNDUP(D30*F30/128*C30,0)</f>
        <v>88</v>
      </c>
      <c r="H30" s="391" t="s">
        <v>401</v>
      </c>
      <c r="I30" s="391">
        <v>35</v>
      </c>
      <c r="J30" s="391" t="s">
        <v>401</v>
      </c>
      <c r="K30" s="391">
        <f>SUM(G30/I30)</f>
        <v>2.5142857142857142</v>
      </c>
      <c r="L30" s="391">
        <v>0</v>
      </c>
      <c r="M30" s="391">
        <f>ROUNDUP(K30-L30,0)</f>
        <v>3</v>
      </c>
    </row>
    <row r="31" spans="2:15" x14ac:dyDescent="0.25">
      <c r="B31" s="391" t="s">
        <v>375</v>
      </c>
      <c r="C31" s="391">
        <v>7</v>
      </c>
      <c r="D31" s="391">
        <v>1.8</v>
      </c>
      <c r="E31" s="391">
        <v>80</v>
      </c>
      <c r="F31" s="391">
        <v>3485</v>
      </c>
      <c r="G31" s="391">
        <f>ROUNDUP(D31*F31/128*C31,0)</f>
        <v>344</v>
      </c>
      <c r="H31" s="391" t="s">
        <v>401</v>
      </c>
      <c r="I31" s="391">
        <v>55</v>
      </c>
      <c r="J31" s="391" t="s">
        <v>401</v>
      </c>
      <c r="K31" s="614">
        <f>SUM(G31/I31)</f>
        <v>6.2545454545454549</v>
      </c>
      <c r="L31" s="391">
        <v>1</v>
      </c>
      <c r="M31" s="391">
        <f t="shared" ref="M31" si="6">ROUNDUP(K31-L31,0)</f>
        <v>6</v>
      </c>
    </row>
    <row r="34" spans="2:14" x14ac:dyDescent="0.25">
      <c r="B34" s="606" t="s">
        <v>420</v>
      </c>
      <c r="C34" s="248" t="s">
        <v>100</v>
      </c>
      <c r="D34" s="613" t="s">
        <v>215</v>
      </c>
      <c r="E34" s="613" t="s">
        <v>5</v>
      </c>
      <c r="F34" s="613" t="s">
        <v>102</v>
      </c>
      <c r="G34" s="613" t="s">
        <v>136</v>
      </c>
      <c r="H34" s="613" t="s">
        <v>105</v>
      </c>
      <c r="I34" s="613" t="s">
        <v>104</v>
      </c>
      <c r="J34" s="613" t="s">
        <v>105</v>
      </c>
      <c r="K34" s="613" t="s">
        <v>137</v>
      </c>
      <c r="L34" s="613" t="s">
        <v>106</v>
      </c>
      <c r="M34" s="613" t="s">
        <v>107</v>
      </c>
    </row>
    <row r="35" spans="2:14" x14ac:dyDescent="0.25">
      <c r="B35" s="363" t="s">
        <v>412</v>
      </c>
      <c r="C35" s="462">
        <v>1</v>
      </c>
      <c r="D35" s="462">
        <v>0.45</v>
      </c>
      <c r="E35" s="462">
        <v>30</v>
      </c>
      <c r="F35" s="462">
        <v>1307</v>
      </c>
      <c r="G35" s="462">
        <f>ROUNDUP(D35*F35/16,0)</f>
        <v>37</v>
      </c>
      <c r="H35" s="462" t="s">
        <v>121</v>
      </c>
      <c r="I35" s="462">
        <v>5</v>
      </c>
      <c r="J35" s="462" t="s">
        <v>121</v>
      </c>
      <c r="K35" s="462">
        <f>ROUNDUP(G35/I35,0)</f>
        <v>8</v>
      </c>
      <c r="L35" s="462">
        <v>7</v>
      </c>
      <c r="M35" s="462">
        <f>ROUNDUP(K35-L35,0)</f>
        <v>1</v>
      </c>
    </row>
    <row r="36" spans="2:14" x14ac:dyDescent="0.25">
      <c r="B36" s="391" t="s">
        <v>379</v>
      </c>
      <c r="C36" s="391">
        <v>1</v>
      </c>
      <c r="D36" s="391">
        <v>0.14000000000000001</v>
      </c>
      <c r="E36" s="391">
        <v>30</v>
      </c>
      <c r="F36" s="391">
        <v>1307</v>
      </c>
      <c r="G36" s="391">
        <f>ROUNDUP(D36*F36,0)</f>
        <v>183</v>
      </c>
      <c r="H36" s="391" t="s">
        <v>112</v>
      </c>
      <c r="I36" s="391">
        <v>32</v>
      </c>
      <c r="J36" s="391" t="s">
        <v>112</v>
      </c>
      <c r="K36" s="391">
        <f>ROUNDUP(G36/I36,0)</f>
        <v>6</v>
      </c>
      <c r="L36" s="391">
        <v>2</v>
      </c>
      <c r="M36" s="391">
        <f>MAX(0,K36-L36)</f>
        <v>4</v>
      </c>
      <c r="N36" t="s">
        <v>421</v>
      </c>
    </row>
    <row r="37" spans="2:14" x14ac:dyDescent="0.25">
      <c r="B37" s="391" t="s">
        <v>396</v>
      </c>
      <c r="C37" s="391">
        <v>1</v>
      </c>
      <c r="D37" s="391">
        <v>0.9</v>
      </c>
      <c r="E37" s="391">
        <v>30</v>
      </c>
      <c r="F37" s="391">
        <v>1307</v>
      </c>
      <c r="G37" s="391">
        <f>ROUNDUP(D37*F37/128,0)</f>
        <v>10</v>
      </c>
      <c r="H37" s="391" t="s">
        <v>401</v>
      </c>
      <c r="I37" s="391">
        <v>2.5</v>
      </c>
      <c r="J37" s="391" t="s">
        <v>108</v>
      </c>
      <c r="K37" s="391">
        <f>ROUNDUP(G37/I37,0)</f>
        <v>4</v>
      </c>
      <c r="L37" s="391">
        <v>1</v>
      </c>
      <c r="M37" s="391">
        <f t="shared" ref="M37:M39" si="7">ROUNDUP(K37-L37,0)</f>
        <v>3</v>
      </c>
    </row>
    <row r="38" spans="2:14" x14ac:dyDescent="0.25">
      <c r="B38" s="391" t="s">
        <v>376</v>
      </c>
      <c r="C38" s="391">
        <v>1</v>
      </c>
      <c r="D38" s="391">
        <v>0.74</v>
      </c>
      <c r="E38" s="391">
        <v>30</v>
      </c>
      <c r="F38" s="391">
        <v>1307</v>
      </c>
      <c r="G38" s="391">
        <f>ROUNDUP(D38*F38/128,0)</f>
        <v>8</v>
      </c>
      <c r="H38" s="391" t="s">
        <v>401</v>
      </c>
      <c r="I38" s="391">
        <v>1</v>
      </c>
      <c r="J38" s="391" t="s">
        <v>108</v>
      </c>
      <c r="K38" s="391">
        <f>ROUNDUP(G38/I38,0)</f>
        <v>8</v>
      </c>
      <c r="L38" s="391">
        <v>5</v>
      </c>
      <c r="M38" s="391">
        <f t="shared" si="7"/>
        <v>3</v>
      </c>
      <c r="N38" t="s">
        <v>422</v>
      </c>
    </row>
    <row r="39" spans="2:14" x14ac:dyDescent="0.25">
      <c r="B39" s="391" t="s">
        <v>360</v>
      </c>
      <c r="C39" s="391">
        <v>1</v>
      </c>
      <c r="D39" s="391">
        <v>1</v>
      </c>
      <c r="E39" s="391">
        <v>30</v>
      </c>
      <c r="F39" s="391">
        <v>1307</v>
      </c>
      <c r="G39" s="391">
        <f>ROUNDUP(D39*F39/128,0)</f>
        <v>11</v>
      </c>
      <c r="H39" s="391" t="s">
        <v>401</v>
      </c>
      <c r="I39" s="391">
        <v>1</v>
      </c>
      <c r="J39" s="391" t="s">
        <v>108</v>
      </c>
      <c r="K39" s="391">
        <f>ROUNDUP(G39/I39,0)</f>
        <v>11</v>
      </c>
      <c r="L39" s="391">
        <v>0</v>
      </c>
      <c r="M39" s="391">
        <f t="shared" si="7"/>
        <v>11</v>
      </c>
    </row>
    <row r="41" spans="2:14" x14ac:dyDescent="0.25">
      <c r="B41" s="615" t="s">
        <v>423</v>
      </c>
      <c r="C41" s="248" t="s">
        <v>100</v>
      </c>
      <c r="D41" s="613" t="s">
        <v>215</v>
      </c>
      <c r="E41" s="613" t="s">
        <v>5</v>
      </c>
      <c r="F41" s="613" t="s">
        <v>102</v>
      </c>
      <c r="G41" s="613" t="s">
        <v>136</v>
      </c>
      <c r="H41" s="613" t="s">
        <v>105</v>
      </c>
      <c r="I41" s="613" t="s">
        <v>104</v>
      </c>
      <c r="J41" s="613" t="s">
        <v>105</v>
      </c>
      <c r="K41" s="613" t="s">
        <v>137</v>
      </c>
      <c r="L41" s="613" t="s">
        <v>106</v>
      </c>
      <c r="M41" s="613" t="s">
        <v>107</v>
      </c>
    </row>
    <row r="42" spans="2:14" x14ac:dyDescent="0.25">
      <c r="B42" s="391" t="s">
        <v>424</v>
      </c>
      <c r="C42" s="391">
        <v>8</v>
      </c>
      <c r="D42" s="391">
        <v>0.05</v>
      </c>
      <c r="E42" s="391">
        <v>80</v>
      </c>
      <c r="F42" s="391">
        <v>3485</v>
      </c>
      <c r="G42" s="391">
        <f>D42/0.51*F42*C42</f>
        <v>2733.3333333333335</v>
      </c>
      <c r="H42" s="391" t="s">
        <v>169</v>
      </c>
      <c r="I42" s="391">
        <v>2000</v>
      </c>
      <c r="J42" s="391" t="s">
        <v>121</v>
      </c>
      <c r="K42" s="391">
        <f>SUM(G42/I42)</f>
        <v>1.3666666666666667</v>
      </c>
      <c r="L42" s="391"/>
      <c r="M42" s="391">
        <f t="shared" ref="M42:M43" si="8">ROUNDUP(K42-L42,0)</f>
        <v>2</v>
      </c>
    </row>
    <row r="43" spans="2:14" x14ac:dyDescent="0.25">
      <c r="B43" s="391" t="s">
        <v>425</v>
      </c>
      <c r="C43" s="391">
        <v>8</v>
      </c>
      <c r="D43" s="391">
        <v>6.5000000000000002E-2</v>
      </c>
      <c r="E43" s="391">
        <v>80</v>
      </c>
      <c r="F43" s="391">
        <v>3485</v>
      </c>
      <c r="G43" s="391">
        <f>D43/0.46*F43*C43</f>
        <v>3939.565217391304</v>
      </c>
      <c r="H43" s="391" t="s">
        <v>169</v>
      </c>
      <c r="I43" s="391">
        <v>2000</v>
      </c>
      <c r="J43" s="391" t="s">
        <v>121</v>
      </c>
      <c r="K43" s="391">
        <f>SUM(G43/I43)</f>
        <v>1.969782608695652</v>
      </c>
      <c r="L43" s="391">
        <v>0</v>
      </c>
      <c r="M43" s="391">
        <f t="shared" si="8"/>
        <v>2</v>
      </c>
    </row>
    <row r="44" spans="2:14" x14ac:dyDescent="0.25">
      <c r="B44" s="391" t="s">
        <v>426</v>
      </c>
      <c r="C44" s="391">
        <v>1</v>
      </c>
      <c r="D44" s="391">
        <v>6.46</v>
      </c>
      <c r="E44" s="391">
        <v>80</v>
      </c>
      <c r="F44" s="391">
        <v>3485</v>
      </c>
      <c r="G44" s="391">
        <v>480</v>
      </c>
      <c r="H44" s="391" t="s">
        <v>427</v>
      </c>
      <c r="I44" s="391">
        <v>50</v>
      </c>
      <c r="J44" s="391" t="s">
        <v>169</v>
      </c>
      <c r="K44" s="391" t="s">
        <v>428</v>
      </c>
      <c r="L44" s="391">
        <v>0</v>
      </c>
      <c r="M44" s="391"/>
    </row>
    <row r="45" spans="2:14" x14ac:dyDescent="0.25">
      <c r="B45" s="391" t="s">
        <v>429</v>
      </c>
      <c r="C45" s="391">
        <v>1</v>
      </c>
      <c r="D45" s="391">
        <v>4.38</v>
      </c>
      <c r="E45" s="391">
        <v>80</v>
      </c>
      <c r="F45" s="391">
        <v>3485</v>
      </c>
      <c r="G45" s="391">
        <v>240</v>
      </c>
      <c r="H45" s="391" t="s">
        <v>427</v>
      </c>
      <c r="I45" s="391">
        <v>50</v>
      </c>
      <c r="J45" s="391" t="s">
        <v>169</v>
      </c>
      <c r="K45" s="391" t="s">
        <v>430</v>
      </c>
      <c r="L45" s="391"/>
      <c r="M45" s="39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7BAF-B26C-480A-BB93-36FDE9C67177}">
  <sheetPr>
    <tabColor rgb="FFFFC000"/>
  </sheetPr>
  <dimension ref="A1:Y34"/>
  <sheetViews>
    <sheetView workbookViewId="0">
      <pane ySplit="2" topLeftCell="A4" activePane="bottomLeft" state="frozen"/>
      <selection pane="bottomLeft" activeCell="A4" sqref="A4"/>
    </sheetView>
  </sheetViews>
  <sheetFormatPr defaultRowHeight="15" x14ac:dyDescent="0.25"/>
  <cols>
    <col min="1" max="1" width="21.85546875" bestFit="1" customWidth="1"/>
    <col min="2" max="2" width="14.85546875" bestFit="1" customWidth="1"/>
    <col min="3" max="3" width="12.85546875" bestFit="1" customWidth="1"/>
    <col min="4" max="4" width="12" bestFit="1" customWidth="1"/>
    <col min="5" max="7" width="11.28515625" bestFit="1" customWidth="1"/>
    <col min="8" max="8" width="15.7109375" customWidth="1"/>
    <col min="9" max="9" width="19.7109375" bestFit="1" customWidth="1"/>
    <col min="10" max="10" width="14.85546875" bestFit="1" customWidth="1"/>
    <col min="11" max="11" width="12.42578125" bestFit="1" customWidth="1"/>
    <col min="12" max="12" width="14.140625" bestFit="1" customWidth="1"/>
    <col min="13" max="13" width="14.7109375" bestFit="1" customWidth="1"/>
    <col min="14" max="14" width="6.140625" bestFit="1" customWidth="1"/>
    <col min="15" max="15" width="17.7109375" bestFit="1" customWidth="1"/>
    <col min="17" max="17" width="11.28515625" bestFit="1" customWidth="1"/>
    <col min="18" max="18" width="15.42578125" bestFit="1" customWidth="1"/>
    <col min="19" max="19" width="15.85546875" customWidth="1"/>
    <col min="20" max="23" width="11.28515625" bestFit="1" customWidth="1"/>
    <col min="24" max="24" width="10.42578125" bestFit="1" customWidth="1"/>
    <col min="25" max="25" width="11.28515625" bestFit="1" customWidth="1"/>
  </cols>
  <sheetData>
    <row r="1" spans="1:24" ht="23.25" x14ac:dyDescent="0.35">
      <c r="A1" s="1015"/>
      <c r="B1" s="1016"/>
      <c r="C1" s="1015"/>
      <c r="D1" s="1015"/>
      <c r="E1" s="1016"/>
      <c r="F1" s="1016"/>
      <c r="G1" s="1016"/>
      <c r="H1" s="1017" t="s">
        <v>431</v>
      </c>
      <c r="I1" s="1016"/>
      <c r="J1" s="1018" t="s">
        <v>34</v>
      </c>
      <c r="K1" s="1019"/>
      <c r="L1" s="1019"/>
      <c r="M1" s="1019"/>
      <c r="N1" s="1020"/>
      <c r="O1" s="253"/>
      <c r="S1" s="651" t="s">
        <v>146</v>
      </c>
      <c r="T1" s="651"/>
    </row>
    <row r="2" spans="1:24" ht="18.75" x14ac:dyDescent="0.3">
      <c r="A2" s="1021" t="s">
        <v>99</v>
      </c>
      <c r="B2" s="1022" t="s">
        <v>147</v>
      </c>
      <c r="C2" s="1023" t="s">
        <v>100</v>
      </c>
      <c r="D2" s="1022" t="s">
        <v>148</v>
      </c>
      <c r="E2" s="1022" t="s">
        <v>5</v>
      </c>
      <c r="F2" s="1022" t="s">
        <v>102</v>
      </c>
      <c r="G2" s="1024" t="s">
        <v>149</v>
      </c>
      <c r="H2" s="1024" t="s">
        <v>150</v>
      </c>
      <c r="I2" s="1024" t="s">
        <v>151</v>
      </c>
      <c r="J2" s="1024" t="s">
        <v>152</v>
      </c>
      <c r="K2" s="1022" t="s">
        <v>107</v>
      </c>
      <c r="L2" s="1024" t="s">
        <v>153</v>
      </c>
      <c r="M2" s="1022" t="s">
        <v>104</v>
      </c>
      <c r="N2" s="1022" t="s">
        <v>105</v>
      </c>
      <c r="O2" s="1025" t="s">
        <v>154</v>
      </c>
      <c r="Q2" s="379" t="s">
        <v>156</v>
      </c>
      <c r="R2" s="375" t="s">
        <v>157</v>
      </c>
      <c r="S2" s="375" t="s">
        <v>158</v>
      </c>
      <c r="T2" s="375" t="s">
        <v>159</v>
      </c>
      <c r="U2" s="375" t="s">
        <v>160</v>
      </c>
      <c r="V2" s="375" t="s">
        <v>161</v>
      </c>
      <c r="W2" s="375" t="s">
        <v>162</v>
      </c>
      <c r="X2" s="387" t="s">
        <v>163</v>
      </c>
    </row>
    <row r="3" spans="1:24" ht="23.25" x14ac:dyDescent="0.35">
      <c r="A3" s="1026" t="s">
        <v>400</v>
      </c>
      <c r="B3" s="1027" t="s">
        <v>165</v>
      </c>
      <c r="C3" s="1027">
        <f>'Rough Quantities'!C3</f>
        <v>1</v>
      </c>
      <c r="D3" s="1027">
        <v>0.84</v>
      </c>
      <c r="E3" s="1027">
        <v>8</v>
      </c>
      <c r="F3" s="1027">
        <v>348</v>
      </c>
      <c r="G3" s="1028">
        <f t="shared" ref="G3:G12" si="0">H3/E3</f>
        <v>243.21937499999999</v>
      </c>
      <c r="H3" s="1028">
        <f t="shared" ref="H3:H9" si="1">D3*F3/128/M3*J3</f>
        <v>1945.7549999999999</v>
      </c>
      <c r="I3" s="753">
        <f t="shared" ref="I3:I12" si="2">H3*C3</f>
        <v>1945.7549999999999</v>
      </c>
      <c r="J3" s="1028">
        <f>'Total Order Sheet'!C17</f>
        <v>852</v>
      </c>
      <c r="K3" s="1027">
        <f>'Rough Quantities'!M3</f>
        <v>4</v>
      </c>
      <c r="L3" s="1028">
        <f t="shared" ref="L3:L9" si="3">SUM(J3*K3)</f>
        <v>3408</v>
      </c>
      <c r="M3" s="1027">
        <v>1</v>
      </c>
      <c r="N3" s="1029" t="s">
        <v>108</v>
      </c>
      <c r="O3" s="1030">
        <f t="shared" ref="O3:O12" si="4">H3</f>
        <v>1945.7549999999999</v>
      </c>
      <c r="Q3" s="1063">
        <f>O3</f>
        <v>1945.7549999999999</v>
      </c>
      <c r="R3" s="1031"/>
      <c r="S3" s="664"/>
      <c r="T3" s="664"/>
      <c r="U3" s="664"/>
      <c r="V3" s="665"/>
      <c r="W3" s="664"/>
      <c r="X3" s="758"/>
    </row>
    <row r="4" spans="1:24" x14ac:dyDescent="0.25">
      <c r="A4" s="1026" t="s">
        <v>370</v>
      </c>
      <c r="B4" s="675" t="s">
        <v>167</v>
      </c>
      <c r="C4" s="675">
        <f>'Rough Quantities'!C4</f>
        <v>2</v>
      </c>
      <c r="D4" s="675">
        <v>2</v>
      </c>
      <c r="E4" s="1027">
        <v>80</v>
      </c>
      <c r="F4" s="1027">
        <v>3484</v>
      </c>
      <c r="G4" s="678">
        <f t="shared" si="0"/>
        <v>48.993749999999991</v>
      </c>
      <c r="H4" s="678">
        <f t="shared" si="1"/>
        <v>3919.4999999999995</v>
      </c>
      <c r="I4" s="754">
        <f t="shared" si="2"/>
        <v>7838.9999999999991</v>
      </c>
      <c r="J4" s="678">
        <v>180</v>
      </c>
      <c r="K4" s="675">
        <f>'Rough Quantities'!M4</f>
        <v>44</v>
      </c>
      <c r="L4" s="678">
        <f t="shared" si="3"/>
        <v>7920</v>
      </c>
      <c r="M4" s="675">
        <v>2.5</v>
      </c>
      <c r="N4" s="677" t="s">
        <v>108</v>
      </c>
      <c r="O4" s="1032">
        <f t="shared" si="4"/>
        <v>3919.4999999999995</v>
      </c>
      <c r="Q4" s="1062"/>
      <c r="R4" s="678">
        <f>O4</f>
        <v>3919.4999999999995</v>
      </c>
      <c r="S4" s="564"/>
      <c r="T4" s="669"/>
      <c r="U4" s="754">
        <f>O4</f>
        <v>3919.4999999999995</v>
      </c>
      <c r="V4" s="564"/>
      <c r="W4" s="564"/>
      <c r="X4" s="759"/>
    </row>
    <row r="5" spans="1:24" ht="23.25" x14ac:dyDescent="0.35">
      <c r="A5" s="1026" t="s">
        <v>199</v>
      </c>
      <c r="B5" s="675" t="s">
        <v>167</v>
      </c>
      <c r="C5" s="675">
        <f>'Rough Quantities'!C5</f>
        <v>3</v>
      </c>
      <c r="D5" s="675">
        <v>1.8</v>
      </c>
      <c r="E5" s="1027">
        <v>80</v>
      </c>
      <c r="F5" s="1027">
        <v>3484</v>
      </c>
      <c r="G5" s="678">
        <f t="shared" si="0"/>
        <v>18.343259999999997</v>
      </c>
      <c r="H5" s="678">
        <f t="shared" si="1"/>
        <v>1467.4607999999998</v>
      </c>
      <c r="I5" s="754">
        <f t="shared" si="2"/>
        <v>4402.3823999999995</v>
      </c>
      <c r="J5" s="678">
        <f>'Total Order Sheet'!C54</f>
        <v>74.88</v>
      </c>
      <c r="K5" s="675">
        <f>'Rough Quantities'!M5</f>
        <v>55</v>
      </c>
      <c r="L5" s="678">
        <f t="shared" si="3"/>
        <v>4118.3999999999996</v>
      </c>
      <c r="M5" s="675">
        <v>2.5</v>
      </c>
      <c r="N5" s="677" t="s">
        <v>108</v>
      </c>
      <c r="O5" s="1032">
        <f t="shared" si="4"/>
        <v>1467.4607999999998</v>
      </c>
      <c r="Q5" s="1062"/>
      <c r="R5" s="1033"/>
      <c r="S5" s="754">
        <f>O5</f>
        <v>1467.4607999999998</v>
      </c>
      <c r="T5" s="754">
        <f>O5</f>
        <v>1467.4607999999998</v>
      </c>
      <c r="U5" s="754">
        <f>O5</f>
        <v>1467.4607999999998</v>
      </c>
      <c r="V5" s="564"/>
      <c r="W5" s="669"/>
      <c r="X5" s="759"/>
    </row>
    <row r="6" spans="1:24" x14ac:dyDescent="0.25">
      <c r="A6" s="1026" t="s">
        <v>197</v>
      </c>
      <c r="B6" s="675" t="s">
        <v>167</v>
      </c>
      <c r="C6" s="675">
        <f>'Rough Quantities'!C6</f>
        <v>2</v>
      </c>
      <c r="D6" s="675">
        <v>0.5</v>
      </c>
      <c r="E6" s="1027">
        <v>80</v>
      </c>
      <c r="F6" s="1027">
        <v>3484</v>
      </c>
      <c r="G6" s="678">
        <f t="shared" si="0"/>
        <v>41.6787109375</v>
      </c>
      <c r="H6" s="678">
        <f t="shared" si="1"/>
        <v>3334.296875</v>
      </c>
      <c r="I6" s="754">
        <f t="shared" si="2"/>
        <v>6668.59375</v>
      </c>
      <c r="J6" s="678">
        <f>'Total Order Sheet'!C59</f>
        <v>245</v>
      </c>
      <c r="K6" s="675">
        <f>'Rough Quantities'!M6</f>
        <v>28</v>
      </c>
      <c r="L6" s="678">
        <f t="shared" si="3"/>
        <v>6860</v>
      </c>
      <c r="M6" s="675">
        <v>1</v>
      </c>
      <c r="N6" s="677" t="s">
        <v>108</v>
      </c>
      <c r="O6" s="1032">
        <f t="shared" si="4"/>
        <v>3334.296875</v>
      </c>
      <c r="Q6" s="674"/>
      <c r="R6" s="669"/>
      <c r="S6" s="564"/>
      <c r="T6" s="754">
        <f>O6</f>
        <v>3334.296875</v>
      </c>
      <c r="U6" s="564"/>
      <c r="V6" s="564"/>
      <c r="W6" s="564"/>
      <c r="X6" s="759"/>
    </row>
    <row r="7" spans="1:24" x14ac:dyDescent="0.25">
      <c r="A7" s="1026" t="s">
        <v>404</v>
      </c>
      <c r="B7" s="675" t="s">
        <v>167</v>
      </c>
      <c r="C7" s="675">
        <f>'Rough Quantities'!C7</f>
        <v>1</v>
      </c>
      <c r="D7" s="675">
        <v>2.08</v>
      </c>
      <c r="E7" s="1027">
        <v>80</v>
      </c>
      <c r="F7" s="1027">
        <v>3484</v>
      </c>
      <c r="G7" s="678">
        <f t="shared" si="0"/>
        <v>38.215125</v>
      </c>
      <c r="H7" s="678">
        <f t="shared" si="1"/>
        <v>3057.21</v>
      </c>
      <c r="I7" s="754">
        <f t="shared" si="2"/>
        <v>3057.21</v>
      </c>
      <c r="J7" s="678">
        <f>'Total Order Sheet'!C52</f>
        <v>135</v>
      </c>
      <c r="K7" s="675">
        <f>'Rough Quantities'!M7</f>
        <v>22</v>
      </c>
      <c r="L7" s="678">
        <f t="shared" si="3"/>
        <v>2970</v>
      </c>
      <c r="M7" s="675">
        <v>2.5</v>
      </c>
      <c r="N7" s="677" t="s">
        <v>108</v>
      </c>
      <c r="O7" s="1032">
        <f t="shared" si="4"/>
        <v>3057.21</v>
      </c>
      <c r="Q7" s="672"/>
      <c r="R7" s="564"/>
      <c r="S7" s="669"/>
      <c r="T7" s="669"/>
      <c r="U7" s="754">
        <f>O7</f>
        <v>3057.21</v>
      </c>
      <c r="V7" s="669"/>
      <c r="W7" s="669"/>
      <c r="X7" s="759"/>
    </row>
    <row r="8" spans="1:24" x14ac:dyDescent="0.25">
      <c r="A8" s="1026" t="s">
        <v>405</v>
      </c>
      <c r="B8" s="675" t="s">
        <v>167</v>
      </c>
      <c r="C8" s="675">
        <f>'Rough Quantities'!C8</f>
        <v>2</v>
      </c>
      <c r="D8" s="675">
        <v>0.75</v>
      </c>
      <c r="E8" s="1027">
        <v>80</v>
      </c>
      <c r="F8" s="1027">
        <v>3484</v>
      </c>
      <c r="G8" s="678">
        <f t="shared" si="0"/>
        <v>35.724609375</v>
      </c>
      <c r="H8" s="678">
        <f t="shared" si="1"/>
        <v>2857.96875</v>
      </c>
      <c r="I8" s="754">
        <f t="shared" si="2"/>
        <v>5715.9375</v>
      </c>
      <c r="J8" s="678">
        <f>'Total Order Sheet'!C55</f>
        <v>140</v>
      </c>
      <c r="K8" s="675">
        <f>'Rough Quantities'!M8</f>
        <v>37</v>
      </c>
      <c r="L8" s="678">
        <f t="shared" si="3"/>
        <v>5180</v>
      </c>
      <c r="M8" s="675">
        <v>1</v>
      </c>
      <c r="N8" s="677" t="s">
        <v>108</v>
      </c>
      <c r="O8" s="1032">
        <f t="shared" si="4"/>
        <v>2857.96875</v>
      </c>
      <c r="Q8" s="672"/>
      <c r="R8" s="564"/>
      <c r="S8" s="669"/>
      <c r="T8" s="754">
        <f>O8</f>
        <v>2857.96875</v>
      </c>
      <c r="U8" s="754">
        <f>O8</f>
        <v>2857.96875</v>
      </c>
      <c r="V8" s="669"/>
      <c r="W8" s="669"/>
      <c r="X8" s="759"/>
    </row>
    <row r="9" spans="1:24" x14ac:dyDescent="0.25">
      <c r="A9" s="1026" t="s">
        <v>198</v>
      </c>
      <c r="B9" s="675" t="s">
        <v>167</v>
      </c>
      <c r="C9" s="675">
        <f>'Rough Quantities'!C10</f>
        <v>2</v>
      </c>
      <c r="D9" s="675">
        <v>4</v>
      </c>
      <c r="E9" s="1027">
        <v>80</v>
      </c>
      <c r="F9" s="1027">
        <v>3484</v>
      </c>
      <c r="G9" s="678">
        <f t="shared" si="0"/>
        <v>102.07031249999999</v>
      </c>
      <c r="H9" s="678">
        <f t="shared" si="1"/>
        <v>8165.6249999999991</v>
      </c>
      <c r="I9" s="754">
        <f t="shared" si="2"/>
        <v>16331.249999999998</v>
      </c>
      <c r="J9" s="678">
        <f>'Total Order Sheet'!C56</f>
        <v>187.5</v>
      </c>
      <c r="K9" s="675">
        <f>'Rough Quantities'!M10</f>
        <v>82</v>
      </c>
      <c r="L9" s="678">
        <f t="shared" si="3"/>
        <v>15375</v>
      </c>
      <c r="M9" s="675">
        <v>2.5</v>
      </c>
      <c r="N9" s="677" t="s">
        <v>108</v>
      </c>
      <c r="O9" s="1032">
        <f t="shared" si="4"/>
        <v>8165.6249999999991</v>
      </c>
      <c r="Q9" s="672"/>
      <c r="R9" s="564"/>
      <c r="S9" s="754">
        <f>O9</f>
        <v>8165.6249999999991</v>
      </c>
      <c r="T9" s="669"/>
      <c r="U9" s="564"/>
      <c r="V9" s="754">
        <f>O9</f>
        <v>8165.6249999999991</v>
      </c>
      <c r="W9" s="669"/>
      <c r="X9" s="759"/>
    </row>
    <row r="10" spans="1:24" x14ac:dyDescent="0.25">
      <c r="A10" s="1034" t="s">
        <v>385</v>
      </c>
      <c r="B10" s="1035" t="s">
        <v>172</v>
      </c>
      <c r="C10" s="1035">
        <f>'Rough Quantities'!C17</f>
        <v>1</v>
      </c>
      <c r="D10" s="1035">
        <v>1.5</v>
      </c>
      <c r="E10" s="1035">
        <v>80</v>
      </c>
      <c r="F10" s="1035">
        <v>3484</v>
      </c>
      <c r="G10" s="1036">
        <f t="shared" si="0"/>
        <v>66.345703125</v>
      </c>
      <c r="H10" s="1036">
        <f>D10*F10/M10*J10</f>
        <v>5307.65625</v>
      </c>
      <c r="I10" s="1036">
        <f t="shared" si="2"/>
        <v>5307.65625</v>
      </c>
      <c r="J10" s="1036">
        <f>'Total Order Sheet'!C46</f>
        <v>65</v>
      </c>
      <c r="K10" s="1035">
        <f>'Rough Quantities'!M17</f>
        <v>7</v>
      </c>
      <c r="L10" s="1036">
        <f>J10*K10</f>
        <v>455</v>
      </c>
      <c r="M10" s="1035">
        <v>64</v>
      </c>
      <c r="N10" s="1037" t="s">
        <v>112</v>
      </c>
      <c r="O10" s="1032">
        <f t="shared" si="4"/>
        <v>5307.65625</v>
      </c>
      <c r="Q10" s="694"/>
      <c r="R10" s="695"/>
      <c r="S10" s="579"/>
      <c r="T10" s="1064">
        <f>O10</f>
        <v>5307.65625</v>
      </c>
      <c r="U10" s="579"/>
      <c r="V10" s="695"/>
      <c r="W10" s="579"/>
      <c r="X10" s="761"/>
    </row>
    <row r="11" spans="1:24" x14ac:dyDescent="0.25">
      <c r="A11" s="1034" t="s">
        <v>432</v>
      </c>
      <c r="B11" s="1035" t="s">
        <v>168</v>
      </c>
      <c r="C11" s="1035">
        <f>'Rough Quantities'!C19</f>
        <v>1</v>
      </c>
      <c r="D11" s="1035">
        <v>0.23</v>
      </c>
      <c r="E11" s="1035">
        <v>80</v>
      </c>
      <c r="F11" s="1035">
        <v>3484</v>
      </c>
      <c r="G11" s="1036">
        <f t="shared" si="0"/>
        <v>88.426914062500003</v>
      </c>
      <c r="H11" s="1036">
        <f>D11*F11/M11*J11</f>
        <v>7074.1531250000007</v>
      </c>
      <c r="I11" s="1036">
        <f t="shared" si="2"/>
        <v>7074.1531250000007</v>
      </c>
      <c r="J11" s="1036">
        <f>'Total Order Sheet'!C93</f>
        <v>141.25</v>
      </c>
      <c r="K11" s="1035">
        <f>'Rough Quantities'!M19</f>
        <v>6</v>
      </c>
      <c r="L11" s="1036">
        <f>J11*K11</f>
        <v>847.5</v>
      </c>
      <c r="M11" s="1035">
        <v>16</v>
      </c>
      <c r="N11" s="1037" t="s">
        <v>112</v>
      </c>
      <c r="O11" s="1032">
        <f t="shared" si="4"/>
        <v>7074.1531250000007</v>
      </c>
      <c r="Q11" s="696"/>
      <c r="R11" s="1064">
        <f>O11</f>
        <v>7074.1531250000007</v>
      </c>
      <c r="S11" s="695"/>
      <c r="T11" s="695"/>
      <c r="U11" s="579"/>
      <c r="V11" s="695"/>
      <c r="W11" s="695"/>
      <c r="X11" s="761"/>
    </row>
    <row r="12" spans="1:24" x14ac:dyDescent="0.25">
      <c r="A12" s="1034" t="s">
        <v>382</v>
      </c>
      <c r="B12" s="1035" t="s">
        <v>343</v>
      </c>
      <c r="C12" s="1035">
        <f>'Rough Quantities'!C20</f>
        <v>1</v>
      </c>
      <c r="D12" s="1035">
        <v>1.8</v>
      </c>
      <c r="E12" s="1060">
        <v>80</v>
      </c>
      <c r="F12" s="1035">
        <v>3484</v>
      </c>
      <c r="G12" s="1036">
        <f t="shared" si="0"/>
        <v>58.180078125000001</v>
      </c>
      <c r="H12" s="1036">
        <f>D12*F12/128/M12*J12</f>
        <v>4654.40625</v>
      </c>
      <c r="I12" s="1036">
        <f t="shared" si="2"/>
        <v>4654.40625</v>
      </c>
      <c r="J12" s="1036">
        <f>'Total Order Sheet'!C79</f>
        <v>237.5</v>
      </c>
      <c r="K12" s="1035">
        <f>'Rough Quantities'!M20</f>
        <v>10</v>
      </c>
      <c r="L12" s="1036">
        <f>J12*K12</f>
        <v>2375</v>
      </c>
      <c r="M12" s="1035">
        <v>2.5</v>
      </c>
      <c r="N12" s="1037" t="s">
        <v>108</v>
      </c>
      <c r="O12" s="1032">
        <f t="shared" si="4"/>
        <v>4654.40625</v>
      </c>
      <c r="Q12" s="696"/>
      <c r="R12" s="1064">
        <f>O12</f>
        <v>4654.40625</v>
      </c>
      <c r="S12" s="695"/>
      <c r="T12" s="695"/>
      <c r="U12" s="579"/>
      <c r="V12" s="695"/>
      <c r="W12" s="695"/>
      <c r="X12" s="761"/>
    </row>
    <row r="13" spans="1:24" x14ac:dyDescent="0.25">
      <c r="A13" s="1034" t="s">
        <v>395</v>
      </c>
      <c r="B13" s="1035" t="s">
        <v>165</v>
      </c>
      <c r="C13" s="1035">
        <f>'Rough Quantities'!C21</f>
        <v>1</v>
      </c>
      <c r="D13" s="1037">
        <v>0.45</v>
      </c>
      <c r="E13" s="1060">
        <v>80</v>
      </c>
      <c r="F13" s="1035">
        <v>3484</v>
      </c>
      <c r="G13" s="1036">
        <f t="shared" ref="G13:G14" si="5">H13/E13</f>
        <v>30.339379687499996</v>
      </c>
      <c r="H13" s="1036">
        <f>D13*F13/16/M13*J13</f>
        <v>2427.1503749999997</v>
      </c>
      <c r="I13" s="1036">
        <f t="shared" ref="I13:I14" si="6">H13*C13</f>
        <v>2427.1503749999997</v>
      </c>
      <c r="J13" s="1036">
        <f>'Total Order Sheet'!C19</f>
        <v>123.85</v>
      </c>
      <c r="K13" s="1035">
        <f>'Rough Quantities'!M21</f>
        <v>20</v>
      </c>
      <c r="L13" s="1036">
        <f t="shared" ref="L13:L14" si="7">J13*K13</f>
        <v>2477</v>
      </c>
      <c r="M13" s="1035">
        <v>5</v>
      </c>
      <c r="N13" s="1037" t="s">
        <v>121</v>
      </c>
      <c r="O13" s="1032">
        <f t="shared" ref="O13:O14" si="8">H13</f>
        <v>2427.1503749999997</v>
      </c>
      <c r="Q13" s="696"/>
      <c r="R13" s="1064"/>
      <c r="S13" s="695"/>
      <c r="T13" s="695"/>
      <c r="U13" s="579"/>
      <c r="V13" s="695"/>
      <c r="W13" s="1064">
        <f>O13</f>
        <v>2427.1503749999997</v>
      </c>
      <c r="X13" s="761"/>
    </row>
    <row r="14" spans="1:24" x14ac:dyDescent="0.25">
      <c r="A14" s="1034" t="s">
        <v>398</v>
      </c>
      <c r="B14" s="1035" t="s">
        <v>172</v>
      </c>
      <c r="C14" s="1035">
        <f>'Rough Quantities'!C22</f>
        <v>1</v>
      </c>
      <c r="D14" s="1037">
        <v>0.09</v>
      </c>
      <c r="E14" s="1060">
        <v>80</v>
      </c>
      <c r="F14" s="1035">
        <v>3484</v>
      </c>
      <c r="G14" s="1036">
        <f t="shared" si="5"/>
        <v>26.129591718750003</v>
      </c>
      <c r="H14" s="1036">
        <f>D14*F14/M14*J14</f>
        <v>2090.3673375000003</v>
      </c>
      <c r="I14" s="1036">
        <f t="shared" si="6"/>
        <v>2090.3673375000003</v>
      </c>
      <c r="J14" s="1036">
        <f>'Total Order Sheet'!C95</f>
        <v>213.33</v>
      </c>
      <c r="K14" s="1035">
        <f>'Rough Quantities'!M22</f>
        <v>6</v>
      </c>
      <c r="L14" s="1036">
        <f t="shared" si="7"/>
        <v>1279.98</v>
      </c>
      <c r="M14" s="1035">
        <v>32</v>
      </c>
      <c r="N14" s="1037" t="s">
        <v>112</v>
      </c>
      <c r="O14" s="1032">
        <f t="shared" si="8"/>
        <v>2090.3673375000003</v>
      </c>
      <c r="Q14" s="696"/>
      <c r="R14" s="1064"/>
      <c r="S14" s="695"/>
      <c r="T14" s="695"/>
      <c r="U14" s="579"/>
      <c r="V14" s="695"/>
      <c r="W14" s="1064">
        <f>O14</f>
        <v>2090.3673375000003</v>
      </c>
      <c r="X14" s="761"/>
    </row>
    <row r="15" spans="1:24" x14ac:dyDescent="0.25">
      <c r="A15" s="1034" t="s">
        <v>395</v>
      </c>
      <c r="B15" s="1035" t="s">
        <v>165</v>
      </c>
      <c r="C15" s="1035">
        <f>'Rough Quantities'!C35</f>
        <v>1</v>
      </c>
      <c r="D15" s="1037">
        <v>0.45</v>
      </c>
      <c r="E15" s="1060">
        <v>30</v>
      </c>
      <c r="F15" s="1275">
        <v>1306</v>
      </c>
      <c r="G15" s="1036">
        <f t="shared" ref="G15:G19" si="9">H15/E15</f>
        <v>30.327768750000001</v>
      </c>
      <c r="H15" s="1036">
        <f>D15*F15/16/M15*J15</f>
        <v>909.83306249999998</v>
      </c>
      <c r="I15" s="1036">
        <f t="shared" ref="I15:I19" si="10">H15*C15</f>
        <v>909.83306249999998</v>
      </c>
      <c r="J15" s="1036">
        <f>'Total Order Sheet'!C19</f>
        <v>123.85</v>
      </c>
      <c r="K15" s="1035">
        <f>'Rough Quantities'!M35</f>
        <v>1</v>
      </c>
      <c r="L15" s="1036">
        <f t="shared" ref="L15:L19" si="11">J15*K15</f>
        <v>123.85</v>
      </c>
      <c r="M15" s="1035">
        <v>5</v>
      </c>
      <c r="N15" s="1037" t="s">
        <v>121</v>
      </c>
      <c r="O15" s="1032">
        <f t="shared" ref="O15:O19" si="12">H15</f>
        <v>909.83306249999998</v>
      </c>
      <c r="Q15" s="696"/>
      <c r="R15" s="1064"/>
      <c r="S15" s="695"/>
      <c r="T15" s="695"/>
      <c r="U15" s="579"/>
      <c r="V15" s="695"/>
      <c r="W15" s="1064">
        <f>O15</f>
        <v>909.83306249999998</v>
      </c>
      <c r="X15" s="761"/>
    </row>
    <row r="16" spans="1:24" x14ac:dyDescent="0.25">
      <c r="A16" s="1034" t="s">
        <v>379</v>
      </c>
      <c r="B16" s="1035" t="s">
        <v>165</v>
      </c>
      <c r="C16" s="1035">
        <f>'Rough Quantities'!C36</f>
        <v>1</v>
      </c>
      <c r="D16" s="1037">
        <v>0.14000000000000001</v>
      </c>
      <c r="E16" s="1060">
        <v>30</v>
      </c>
      <c r="F16" s="1275">
        <v>1306</v>
      </c>
      <c r="G16" s="1036">
        <f t="shared" si="9"/>
        <v>14.85575</v>
      </c>
      <c r="H16" s="1036">
        <f>D16*F16/M16*J16</f>
        <v>445.67250000000001</v>
      </c>
      <c r="I16" s="1036">
        <f t="shared" si="10"/>
        <v>445.67250000000001</v>
      </c>
      <c r="J16" s="1036">
        <f>'Total Order Sheet'!C20</f>
        <v>78</v>
      </c>
      <c r="K16" s="1035">
        <f>'Rough Quantities'!M36</f>
        <v>4</v>
      </c>
      <c r="L16" s="1036">
        <f t="shared" si="11"/>
        <v>312</v>
      </c>
      <c r="M16" s="1035">
        <v>32</v>
      </c>
      <c r="N16" s="1037" t="s">
        <v>112</v>
      </c>
      <c r="O16" s="1032">
        <f t="shared" si="12"/>
        <v>445.67250000000001</v>
      </c>
      <c r="Q16" s="696"/>
      <c r="R16" s="1064">
        <f>O16</f>
        <v>445.67250000000001</v>
      </c>
      <c r="S16" s="695"/>
      <c r="T16" s="695"/>
      <c r="U16" s="579"/>
      <c r="V16" s="695"/>
      <c r="W16" s="695"/>
      <c r="X16" s="761"/>
    </row>
    <row r="17" spans="1:25" x14ac:dyDescent="0.25">
      <c r="A17" s="1034" t="s">
        <v>396</v>
      </c>
      <c r="B17" s="1035" t="s">
        <v>166</v>
      </c>
      <c r="C17" s="1035">
        <f>'Rough Quantities'!C37</f>
        <v>1</v>
      </c>
      <c r="D17" s="1037">
        <v>0.9</v>
      </c>
      <c r="E17" s="1060">
        <v>30</v>
      </c>
      <c r="F17" s="1275">
        <v>1306</v>
      </c>
      <c r="G17" s="1036">
        <f>H17/E17</f>
        <v>109.5815625</v>
      </c>
      <c r="H17" s="1036">
        <f t="shared" ref="H17:H23" si="13">D17*F17/128/M17*J17</f>
        <v>3287.4468750000001</v>
      </c>
      <c r="I17" s="1036">
        <f t="shared" si="10"/>
        <v>3287.4468750000001</v>
      </c>
      <c r="J17" s="1036">
        <f>'Total Order Sheet'!C47</f>
        <v>895</v>
      </c>
      <c r="K17" s="1035">
        <f>'Rough Quantities'!M37</f>
        <v>3</v>
      </c>
      <c r="L17" s="1036">
        <f t="shared" si="11"/>
        <v>2685</v>
      </c>
      <c r="M17" s="1035">
        <v>2.5</v>
      </c>
      <c r="N17" s="1037" t="s">
        <v>108</v>
      </c>
      <c r="O17" s="1032">
        <f t="shared" si="12"/>
        <v>3287.4468750000001</v>
      </c>
      <c r="Q17" s="696"/>
      <c r="R17" s="1064"/>
      <c r="S17" s="695"/>
      <c r="T17" s="695"/>
      <c r="U17" s="579"/>
      <c r="V17" s="695"/>
      <c r="W17" s="1064">
        <f>O17</f>
        <v>3287.4468750000001</v>
      </c>
      <c r="X17" s="761"/>
    </row>
    <row r="18" spans="1:25" x14ac:dyDescent="0.25">
      <c r="A18" s="1034" t="s">
        <v>376</v>
      </c>
      <c r="B18" s="1035" t="s">
        <v>172</v>
      </c>
      <c r="C18" s="1035">
        <f>'Rough Quantities'!C38</f>
        <v>1</v>
      </c>
      <c r="D18" s="1037">
        <v>0.74</v>
      </c>
      <c r="E18" s="1060">
        <v>30</v>
      </c>
      <c r="F18" s="1275">
        <v>1306</v>
      </c>
      <c r="G18" s="1036">
        <f t="shared" si="9"/>
        <v>36.493177083333329</v>
      </c>
      <c r="H18" s="1036">
        <f t="shared" si="13"/>
        <v>1094.7953124999999</v>
      </c>
      <c r="I18" s="1036">
        <f t="shared" si="10"/>
        <v>1094.7953124999999</v>
      </c>
      <c r="J18" s="1036">
        <f>'Total Order Sheet'!C94</f>
        <v>145</v>
      </c>
      <c r="K18" s="1035">
        <f>'Rough Quantities'!M38</f>
        <v>3</v>
      </c>
      <c r="L18" s="1036">
        <f t="shared" si="11"/>
        <v>435</v>
      </c>
      <c r="M18" s="1035">
        <v>1</v>
      </c>
      <c r="N18" s="1037" t="s">
        <v>108</v>
      </c>
      <c r="O18" s="1032">
        <f t="shared" si="12"/>
        <v>1094.7953124999999</v>
      </c>
      <c r="Q18" s="696"/>
      <c r="R18" s="1064">
        <f>O18</f>
        <v>1094.7953124999999</v>
      </c>
      <c r="S18" s="695"/>
      <c r="T18" s="695"/>
      <c r="U18" s="579"/>
      <c r="V18" s="695"/>
      <c r="W18" s="1064">
        <f>O18</f>
        <v>1094.7953124999999</v>
      </c>
      <c r="X18" s="761"/>
    </row>
    <row r="19" spans="1:25" x14ac:dyDescent="0.25">
      <c r="A19" s="1034" t="s">
        <v>360</v>
      </c>
      <c r="B19" s="1035" t="s">
        <v>167</v>
      </c>
      <c r="C19" s="1035">
        <f>'Rough Quantities'!C39</f>
        <v>1</v>
      </c>
      <c r="D19" s="1037">
        <v>1</v>
      </c>
      <c r="E19" s="1060">
        <v>30</v>
      </c>
      <c r="F19" s="1275">
        <v>1306</v>
      </c>
      <c r="G19" s="1036">
        <f t="shared" si="9"/>
        <v>119.03645833333333</v>
      </c>
      <c r="H19" s="1036">
        <f t="shared" si="13"/>
        <v>3571.09375</v>
      </c>
      <c r="I19" s="1036">
        <f t="shared" si="10"/>
        <v>3571.09375</v>
      </c>
      <c r="J19" s="1036">
        <f>'Total Order Sheet'!C63</f>
        <v>350</v>
      </c>
      <c r="K19" s="1035">
        <f>'Rough Quantities'!M39</f>
        <v>11</v>
      </c>
      <c r="L19" s="1036">
        <f t="shared" si="11"/>
        <v>3850</v>
      </c>
      <c r="M19" s="1035">
        <v>1</v>
      </c>
      <c r="N19" s="1037" t="s">
        <v>108</v>
      </c>
      <c r="O19" s="1032">
        <f t="shared" si="12"/>
        <v>3571.09375</v>
      </c>
      <c r="Q19" s="1286">
        <f>O19</f>
        <v>3571.09375</v>
      </c>
      <c r="R19" s="1064"/>
      <c r="S19" s="695"/>
      <c r="T19" s="695"/>
      <c r="U19" s="579"/>
      <c r="V19" s="695"/>
      <c r="W19" s="695"/>
      <c r="X19" s="761"/>
    </row>
    <row r="20" spans="1:25" x14ac:dyDescent="0.25">
      <c r="A20" s="1038" t="s">
        <v>196</v>
      </c>
      <c r="B20" s="1039" t="s">
        <v>167</v>
      </c>
      <c r="C20" s="1039">
        <f>'Rough Quantities'!C14</f>
        <v>7</v>
      </c>
      <c r="D20" s="1041">
        <v>0.1</v>
      </c>
      <c r="E20" s="1039">
        <v>80</v>
      </c>
      <c r="F20" s="1059">
        <v>3484</v>
      </c>
      <c r="G20" s="1040">
        <f>H20/E20</f>
        <v>3.8106250000000004</v>
      </c>
      <c r="H20" s="1040">
        <f t="shared" si="13"/>
        <v>304.85000000000002</v>
      </c>
      <c r="I20" s="1040">
        <f>H20*C20</f>
        <v>2133.9500000000003</v>
      </c>
      <c r="J20" s="1040">
        <f>'Total Order Sheet'!C64</f>
        <v>280</v>
      </c>
      <c r="K20" s="1039">
        <f>'Rough Quantities'!M14</f>
        <v>8</v>
      </c>
      <c r="L20" s="1040">
        <f>K20*J20</f>
        <v>2240</v>
      </c>
      <c r="M20" s="1039">
        <v>2.5</v>
      </c>
      <c r="N20" s="1041" t="s">
        <v>108</v>
      </c>
      <c r="O20" s="1032">
        <f>H20</f>
        <v>304.85000000000002</v>
      </c>
      <c r="Q20" s="701"/>
      <c r="R20" s="1066">
        <f>O20</f>
        <v>304.85000000000002</v>
      </c>
      <c r="S20" s="1066">
        <f>O20</f>
        <v>304.85000000000002</v>
      </c>
      <c r="T20" s="702">
        <f>O20*2</f>
        <v>609.70000000000005</v>
      </c>
      <c r="U20" s="1066">
        <f>O20*2</f>
        <v>609.70000000000005</v>
      </c>
      <c r="V20" s="1066">
        <f>O20</f>
        <v>304.85000000000002</v>
      </c>
      <c r="W20" s="572"/>
      <c r="X20" s="762"/>
    </row>
    <row r="21" spans="1:25" x14ac:dyDescent="0.25">
      <c r="A21" s="1042" t="s">
        <v>384</v>
      </c>
      <c r="B21" s="1043" t="s">
        <v>433</v>
      </c>
      <c r="C21" s="1043">
        <f>'Rough Quantities'!C31</f>
        <v>7</v>
      </c>
      <c r="D21" s="1043">
        <v>4</v>
      </c>
      <c r="E21" s="1061">
        <v>80</v>
      </c>
      <c r="F21" s="1043">
        <v>3484</v>
      </c>
      <c r="G21" s="1044">
        <f>H21/E21</f>
        <v>27.21875</v>
      </c>
      <c r="H21" s="1044">
        <f t="shared" si="13"/>
        <v>2177.5</v>
      </c>
      <c r="I21" s="1044">
        <f>H21*C21</f>
        <v>15242.5</v>
      </c>
      <c r="J21" s="1044">
        <v>1100</v>
      </c>
      <c r="K21" s="1043">
        <f>'Rough Quantities'!M31</f>
        <v>6</v>
      </c>
      <c r="L21" s="1044">
        <f>K21*J21</f>
        <v>6600</v>
      </c>
      <c r="M21" s="1043">
        <v>55</v>
      </c>
      <c r="N21" s="1045" t="s">
        <v>108</v>
      </c>
      <c r="O21" s="1032">
        <f>H21</f>
        <v>2177.5</v>
      </c>
      <c r="Q21" s="708"/>
      <c r="R21" s="1067">
        <f>O21</f>
        <v>2177.5</v>
      </c>
      <c r="S21" s="1067">
        <f>O21</f>
        <v>2177.5</v>
      </c>
      <c r="T21" s="709">
        <f>O21*2</f>
        <v>4355</v>
      </c>
      <c r="U21" s="709">
        <f>O21*2</f>
        <v>4355</v>
      </c>
      <c r="V21" s="1067">
        <f>O21</f>
        <v>2177.5</v>
      </c>
      <c r="W21" s="593"/>
      <c r="X21" s="763"/>
    </row>
    <row r="22" spans="1:25" x14ac:dyDescent="0.25">
      <c r="A22" s="1443" t="s">
        <v>133</v>
      </c>
      <c r="B22" s="1444" t="s">
        <v>175</v>
      </c>
      <c r="C22" s="1444">
        <f>'Rough Quantities'!C30</f>
        <v>8</v>
      </c>
      <c r="D22" s="1444">
        <v>4</v>
      </c>
      <c r="E22" s="1444">
        <v>8</v>
      </c>
      <c r="F22" s="1444">
        <v>348</v>
      </c>
      <c r="G22" s="1445">
        <f>H22/E22</f>
        <v>133.671875</v>
      </c>
      <c r="H22" s="1445">
        <f t="shared" si="13"/>
        <v>1069.375</v>
      </c>
      <c r="I22" s="1445">
        <f>H22*C22</f>
        <v>8555</v>
      </c>
      <c r="J22" s="1445">
        <f>'Total Order Sheet'!C109</f>
        <v>2950</v>
      </c>
      <c r="K22" s="1444">
        <f>'Rough Quantities'!M30</f>
        <v>3</v>
      </c>
      <c r="L22" s="1445">
        <f>K22*J22</f>
        <v>8850</v>
      </c>
      <c r="M22" s="1444">
        <v>30</v>
      </c>
      <c r="N22" s="1446" t="s">
        <v>108</v>
      </c>
      <c r="O22" s="1447">
        <f>H22</f>
        <v>1069.375</v>
      </c>
      <c r="Q22" s="1439">
        <f>O22</f>
        <v>1069.375</v>
      </c>
      <c r="R22" s="1440">
        <f>O22</f>
        <v>1069.375</v>
      </c>
      <c r="S22" s="1440">
        <f>O22</f>
        <v>1069.375</v>
      </c>
      <c r="T22" s="1441">
        <f>O22*2</f>
        <v>2138.75</v>
      </c>
      <c r="U22" s="1441">
        <f>O22*2</f>
        <v>2138.75</v>
      </c>
      <c r="V22" s="1440">
        <f>O22</f>
        <v>1069.375</v>
      </c>
      <c r="W22" s="1287"/>
      <c r="X22" s="1442"/>
      <c r="Y22" s="714">
        <f>SUM(Q21:V22)</f>
        <v>23797.5</v>
      </c>
    </row>
    <row r="23" spans="1:25" x14ac:dyDescent="0.25">
      <c r="A23" s="1415" t="s">
        <v>434</v>
      </c>
      <c r="B23" s="1419" t="s">
        <v>435</v>
      </c>
      <c r="C23" s="1419">
        <v>7</v>
      </c>
      <c r="D23" s="1419">
        <v>1.8</v>
      </c>
      <c r="E23" s="1419">
        <v>80</v>
      </c>
      <c r="F23" s="1448">
        <v>3484</v>
      </c>
      <c r="G23" s="1449">
        <f>H23/E23</f>
        <v>37.970156250000002</v>
      </c>
      <c r="H23" s="1449">
        <f t="shared" si="13"/>
        <v>3037.6125000000002</v>
      </c>
      <c r="I23" s="1449">
        <f>H23*C23</f>
        <v>21263.287500000002</v>
      </c>
      <c r="J23" s="1437">
        <v>155</v>
      </c>
      <c r="K23" s="1419">
        <v>138</v>
      </c>
      <c r="L23" s="1449">
        <f>K23*J23</f>
        <v>21390</v>
      </c>
      <c r="M23" s="1419">
        <v>2.5</v>
      </c>
      <c r="N23" s="1419" t="s">
        <v>108</v>
      </c>
      <c r="O23" s="1450">
        <f>H23</f>
        <v>3037.6125000000002</v>
      </c>
      <c r="Q23" s="1415"/>
      <c r="R23" s="1437">
        <f>O23</f>
        <v>3037.6125000000002</v>
      </c>
      <c r="S23" s="1437">
        <f>O23</f>
        <v>3037.6125000000002</v>
      </c>
      <c r="T23" s="1437">
        <f>O23*2</f>
        <v>6075.2250000000004</v>
      </c>
      <c r="U23" s="1437">
        <f>O23*2</f>
        <v>6075.2250000000004</v>
      </c>
      <c r="V23" s="1437">
        <f>O23</f>
        <v>3037.6125000000002</v>
      </c>
      <c r="W23" s="1419"/>
      <c r="X23" s="1466"/>
    </row>
    <row r="24" spans="1:25" x14ac:dyDescent="0.25">
      <c r="Q24" t="s">
        <v>179</v>
      </c>
      <c r="R24" t="s">
        <v>180</v>
      </c>
      <c r="S24" t="s">
        <v>181</v>
      </c>
      <c r="T24" t="s">
        <v>182</v>
      </c>
      <c r="U24" t="s">
        <v>183</v>
      </c>
      <c r="V24" t="s">
        <v>184</v>
      </c>
      <c r="W24" t="s">
        <v>185</v>
      </c>
      <c r="X24" t="s">
        <v>186</v>
      </c>
    </row>
    <row r="25" spans="1:25" x14ac:dyDescent="0.25">
      <c r="Q25" s="424">
        <f t="shared" ref="Q25:V25" si="14">SUM(Q3:Q23)</f>
        <v>6586.2237500000001</v>
      </c>
      <c r="R25" s="424">
        <f t="shared" si="14"/>
        <v>23777.864687499998</v>
      </c>
      <c r="S25" s="424">
        <f t="shared" si="14"/>
        <v>16222.423299999999</v>
      </c>
      <c r="T25" s="424">
        <f t="shared" si="14"/>
        <v>26146.057675000004</v>
      </c>
      <c r="U25" s="424">
        <f t="shared" si="14"/>
        <v>24480.814550000003</v>
      </c>
      <c r="V25" s="424">
        <f t="shared" si="14"/>
        <v>14754.962499999998</v>
      </c>
      <c r="W25" s="424">
        <f>SUM(W3:W22)</f>
        <v>9809.5929625000008</v>
      </c>
      <c r="X25" s="424">
        <f>SUM(X3:X22)</f>
        <v>0</v>
      </c>
    </row>
    <row r="27" spans="1:25" x14ac:dyDescent="0.25">
      <c r="A27" s="552"/>
      <c r="B27" s="553" t="s">
        <v>188</v>
      </c>
      <c r="C27" s="553" t="s">
        <v>157</v>
      </c>
      <c r="D27" s="553" t="s">
        <v>158</v>
      </c>
      <c r="E27" s="553" t="s">
        <v>159</v>
      </c>
      <c r="F27" s="553" t="s">
        <v>160</v>
      </c>
      <c r="G27" s="553" t="s">
        <v>161</v>
      </c>
      <c r="H27" s="553" t="s">
        <v>162</v>
      </c>
      <c r="I27" s="555" t="s">
        <v>163</v>
      </c>
      <c r="J27" t="s">
        <v>189</v>
      </c>
      <c r="Q27" s="1068" t="s">
        <v>354</v>
      </c>
      <c r="R27" s="1069">
        <f>SUM(Q25:X25)</f>
        <v>121777.93942499999</v>
      </c>
    </row>
    <row r="28" spans="1:25" x14ac:dyDescent="0.25">
      <c r="A28" s="674" t="s">
        <v>99</v>
      </c>
      <c r="B28" s="1070">
        <f t="shared" ref="B28:G28" si="15">SUM(Q3:Q9)</f>
        <v>1945.7549999999999</v>
      </c>
      <c r="C28" s="713">
        <f t="shared" si="15"/>
        <v>3919.4999999999995</v>
      </c>
      <c r="D28" s="713">
        <f t="shared" si="15"/>
        <v>9633.0857999999989</v>
      </c>
      <c r="E28" s="713">
        <f t="shared" si="15"/>
        <v>7659.7264249999998</v>
      </c>
      <c r="F28" s="713">
        <f t="shared" si="15"/>
        <v>11302.13955</v>
      </c>
      <c r="G28" s="713">
        <f t="shared" si="15"/>
        <v>8165.6249999999991</v>
      </c>
      <c r="H28" s="713">
        <f>SUM(W3:W7)</f>
        <v>0</v>
      </c>
      <c r="I28" s="1136">
        <f>SUM(X3:X7)</f>
        <v>0</v>
      </c>
      <c r="J28" s="714">
        <f>B28+C28+D28+E28+F28+G28+H28+I28</f>
        <v>42625.831774999999</v>
      </c>
    </row>
    <row r="29" spans="1:25" x14ac:dyDescent="0.25">
      <c r="A29" s="1430" t="s">
        <v>191</v>
      </c>
      <c r="B29" s="1417">
        <f>SUM(Q10:Q19)</f>
        <v>3571.09375</v>
      </c>
      <c r="C29" s="1417">
        <f t="shared" ref="C29:H29" si="16">SUM(R10:R19)</f>
        <v>13269.027187500002</v>
      </c>
      <c r="D29" s="1417">
        <f t="shared" si="16"/>
        <v>0</v>
      </c>
      <c r="E29" s="1417">
        <f t="shared" si="16"/>
        <v>5307.65625</v>
      </c>
      <c r="F29" s="1417">
        <f t="shared" si="16"/>
        <v>0</v>
      </c>
      <c r="G29" s="1417">
        <f t="shared" si="16"/>
        <v>0</v>
      </c>
      <c r="H29" s="1417">
        <f t="shared" si="16"/>
        <v>9809.5929625000008</v>
      </c>
      <c r="I29" s="1421">
        <f>SUM(X10:X12)</f>
        <v>0</v>
      </c>
      <c r="J29" s="714">
        <f>B29+C29+D29+E29+F29+G29+H29+I29</f>
        <v>31957.370150000002</v>
      </c>
    </row>
    <row r="30" spans="1:25" x14ac:dyDescent="0.25">
      <c r="A30" s="701" t="s">
        <v>192</v>
      </c>
      <c r="B30" s="713">
        <f t="shared" ref="B30:I30" si="17">SUM(Q20:Q20)</f>
        <v>0</v>
      </c>
      <c r="C30" s="1070">
        <f t="shared" si="17"/>
        <v>304.85000000000002</v>
      </c>
      <c r="D30" s="713">
        <f t="shared" si="17"/>
        <v>304.85000000000002</v>
      </c>
      <c r="E30" s="713">
        <f t="shared" si="17"/>
        <v>609.70000000000005</v>
      </c>
      <c r="F30" s="1070">
        <f t="shared" si="17"/>
        <v>609.70000000000005</v>
      </c>
      <c r="G30" s="1070">
        <f t="shared" si="17"/>
        <v>304.85000000000002</v>
      </c>
      <c r="H30" s="713">
        <f t="shared" si="17"/>
        <v>0</v>
      </c>
      <c r="I30" s="1136">
        <f t="shared" si="17"/>
        <v>0</v>
      </c>
      <c r="J30" s="714">
        <f>B30+C30+D30+E30+F30+G30+H30+I30</f>
        <v>2133.9500000000003</v>
      </c>
    </row>
    <row r="31" spans="1:25" x14ac:dyDescent="0.25">
      <c r="A31" s="1422" t="s">
        <v>193</v>
      </c>
      <c r="B31" s="713">
        <f t="shared" ref="B31:I31" si="18">SUM(Q21:Q22)</f>
        <v>1069.375</v>
      </c>
      <c r="C31" s="713">
        <f t="shared" si="18"/>
        <v>3246.875</v>
      </c>
      <c r="D31" s="1070">
        <f t="shared" si="18"/>
        <v>3246.875</v>
      </c>
      <c r="E31" s="713">
        <f t="shared" si="18"/>
        <v>6493.75</v>
      </c>
      <c r="F31" s="713">
        <f t="shared" si="18"/>
        <v>6493.75</v>
      </c>
      <c r="G31" s="713">
        <f t="shared" si="18"/>
        <v>3246.875</v>
      </c>
      <c r="H31" s="713">
        <f t="shared" si="18"/>
        <v>0</v>
      </c>
      <c r="I31" s="1136">
        <f t="shared" si="18"/>
        <v>0</v>
      </c>
      <c r="J31" s="714">
        <f>B31+C31+D31+E31+F31+G31+H31+I31</f>
        <v>23797.5</v>
      </c>
    </row>
    <row r="32" spans="1:25" x14ac:dyDescent="0.25">
      <c r="A32" s="1415" t="s">
        <v>358</v>
      </c>
      <c r="B32" s="598"/>
      <c r="C32" s="1427">
        <f>SUM(R23)</f>
        <v>3037.6125000000002</v>
      </c>
      <c r="D32" s="1427">
        <f>SUM(S23)</f>
        <v>3037.6125000000002</v>
      </c>
      <c r="E32" s="1427">
        <f>SUM(T23)</f>
        <v>6075.2250000000004</v>
      </c>
      <c r="F32" s="1427">
        <f>SUM(U23)</f>
        <v>6075.2250000000004</v>
      </c>
      <c r="G32" s="1427">
        <f>SUM(V23)</f>
        <v>3037.6125000000002</v>
      </c>
      <c r="H32" s="598"/>
      <c r="I32" s="599"/>
      <c r="J32" s="714">
        <f>SUM(B32:I32)</f>
        <v>21263.287500000002</v>
      </c>
    </row>
    <row r="33" spans="2:10" x14ac:dyDescent="0.25">
      <c r="B33" s="714">
        <f>SUM(B28:B31)</f>
        <v>6586.2237500000001</v>
      </c>
      <c r="C33" s="714">
        <f>SUM(C28:C32)</f>
        <v>23777.864687499998</v>
      </c>
      <c r="D33" s="714">
        <f>SUM(D28:D32)</f>
        <v>16222.423299999999</v>
      </c>
      <c r="E33" s="714">
        <f>SUM(E28:E32)</f>
        <v>26146.057675000004</v>
      </c>
      <c r="F33" s="714">
        <f>SUM(F28:F31)</f>
        <v>18405.589550000001</v>
      </c>
      <c r="G33" s="714">
        <f>SUM(G28:G32)</f>
        <v>14754.962499999998</v>
      </c>
      <c r="H33" s="714">
        <f>SUM(H28:H30)</f>
        <v>9809.5929625000008</v>
      </c>
      <c r="I33" s="714">
        <f>SUM(I28:I31)</f>
        <v>0</v>
      </c>
    </row>
    <row r="34" spans="2:10" x14ac:dyDescent="0.25">
      <c r="I34" s="1068" t="s">
        <v>354</v>
      </c>
      <c r="J34" s="1071">
        <f>SUM(J28:J32)</f>
        <v>121777.939425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3D23-4ECF-4358-BE14-C89179A100A3}">
  <sheetPr>
    <tabColor rgb="FFFF0000"/>
  </sheetPr>
  <dimension ref="A1:R22"/>
  <sheetViews>
    <sheetView tabSelected="1" workbookViewId="0">
      <selection activeCell="E5" sqref="E5"/>
    </sheetView>
  </sheetViews>
  <sheetFormatPr defaultRowHeight="15" x14ac:dyDescent="0.25"/>
  <cols>
    <col min="1" max="1" width="25.140625" bestFit="1" customWidth="1"/>
    <col min="2" max="2" width="11.85546875" bestFit="1" customWidth="1"/>
    <col min="3" max="3" width="6.140625" bestFit="1" customWidth="1"/>
    <col min="4" max="4" width="6" bestFit="1" customWidth="1"/>
    <col min="5" max="5" width="5.42578125" bestFit="1" customWidth="1"/>
    <col min="6" max="6" width="15.140625" bestFit="1" customWidth="1"/>
    <col min="8" max="8" width="13.7109375" bestFit="1" customWidth="1"/>
    <col min="15" max="15" width="15.85546875" bestFit="1" customWidth="1"/>
    <col min="16" max="16" width="13.7109375" bestFit="1" customWidth="1"/>
    <col min="17" max="17" width="5.5703125" bestFit="1" customWidth="1"/>
    <col min="18" max="18" width="10.7109375" bestFit="1" customWidth="1"/>
  </cols>
  <sheetData>
    <row r="1" spans="1:18" ht="21" x14ac:dyDescent="0.35">
      <c r="A1" s="1534" t="s">
        <v>436</v>
      </c>
      <c r="B1" s="1535"/>
      <c r="C1" s="1535"/>
      <c r="D1" s="1535"/>
      <c r="E1" s="1535"/>
      <c r="F1" s="1535"/>
      <c r="G1" s="1535"/>
      <c r="H1" s="1535"/>
      <c r="I1" s="1535"/>
      <c r="J1" s="1536"/>
      <c r="O1" s="1543" t="s">
        <v>437</v>
      </c>
      <c r="P1" s="1543"/>
      <c r="Q1" s="1543"/>
      <c r="R1" s="1543"/>
    </row>
    <row r="2" spans="1:18" x14ac:dyDescent="0.25">
      <c r="A2" s="1375" t="s">
        <v>2</v>
      </c>
      <c r="B2" s="1375" t="s">
        <v>100</v>
      </c>
      <c r="C2" s="1375" t="s">
        <v>101</v>
      </c>
      <c r="D2" s="1375" t="s">
        <v>5</v>
      </c>
      <c r="E2" s="1375" t="s">
        <v>102</v>
      </c>
      <c r="F2" s="1375" t="s">
        <v>136</v>
      </c>
      <c r="G2" s="1375" t="s">
        <v>105</v>
      </c>
      <c r="H2" s="1375" t="s">
        <v>104</v>
      </c>
      <c r="I2" s="1375" t="s">
        <v>105</v>
      </c>
      <c r="J2" s="1375" t="s">
        <v>107</v>
      </c>
      <c r="O2" s="611" t="s">
        <v>2</v>
      </c>
      <c r="P2" s="612" t="s">
        <v>104</v>
      </c>
      <c r="Q2" s="612" t="s">
        <v>105</v>
      </c>
      <c r="R2" s="612" t="s">
        <v>352</v>
      </c>
    </row>
    <row r="3" spans="1:18" x14ac:dyDescent="0.25">
      <c r="A3" s="1375" t="s">
        <v>438</v>
      </c>
      <c r="B3" s="1314">
        <v>1</v>
      </c>
      <c r="C3" s="1318">
        <v>0.75</v>
      </c>
      <c r="D3" s="1315">
        <v>30</v>
      </c>
      <c r="E3" s="1315">
        <v>1306</v>
      </c>
      <c r="F3" s="1315">
        <f>ROUNDUP(C3/0.16*E3,0)</f>
        <v>6122</v>
      </c>
      <c r="G3" s="1315" t="s">
        <v>121</v>
      </c>
      <c r="H3" s="1315">
        <v>2000</v>
      </c>
      <c r="I3" s="1315" t="s">
        <v>121</v>
      </c>
      <c r="J3" s="1316">
        <f>ROUNDUP(F3/H3,0)</f>
        <v>4</v>
      </c>
      <c r="O3" s="255" t="s">
        <v>438</v>
      </c>
      <c r="P3" s="552">
        <v>2000</v>
      </c>
      <c r="Q3" s="553" t="s">
        <v>121</v>
      </c>
      <c r="R3" s="555">
        <f>J3</f>
        <v>4</v>
      </c>
    </row>
    <row r="4" spans="1:18" x14ac:dyDescent="0.25">
      <c r="A4" s="1383" t="s">
        <v>439</v>
      </c>
      <c r="B4" s="1321">
        <v>1</v>
      </c>
      <c r="C4" s="1322">
        <v>0.75</v>
      </c>
      <c r="D4" s="1323">
        <v>4</v>
      </c>
      <c r="E4" s="1324">
        <f>D4*43.56</f>
        <v>174.24</v>
      </c>
      <c r="F4" s="1323">
        <f>ROUNDUP(C4/0.14*E4,0)</f>
        <v>934</v>
      </c>
      <c r="G4" s="1322" t="s">
        <v>121</v>
      </c>
      <c r="H4" s="1323">
        <v>2000</v>
      </c>
      <c r="I4" s="1324" t="s">
        <v>121</v>
      </c>
      <c r="J4" s="1325">
        <f>ROUNDUP(F4/H4,0)</f>
        <v>1</v>
      </c>
      <c r="O4" s="255" t="s">
        <v>440</v>
      </c>
      <c r="P4" s="563">
        <v>2000</v>
      </c>
      <c r="Q4" s="12" t="s">
        <v>121</v>
      </c>
      <c r="R4" s="197">
        <f>J4</f>
        <v>1</v>
      </c>
    </row>
    <row r="5" spans="1:18" x14ac:dyDescent="0.25">
      <c r="A5" s="1384" t="s">
        <v>425</v>
      </c>
      <c r="B5" s="1327">
        <v>18</v>
      </c>
      <c r="C5" s="1326">
        <v>6.5000000000000002E-2</v>
      </c>
      <c r="D5" s="1326">
        <v>30</v>
      </c>
      <c r="E5" s="1326" t="s">
        <v>34</v>
      </c>
      <c r="F5" s="1323" t="e">
        <f>ROUNDUP(C5/0.46*E5*B5,0)</f>
        <v>#VALUE!</v>
      </c>
      <c r="G5" s="1326" t="s">
        <v>121</v>
      </c>
      <c r="H5" s="1326">
        <v>2000</v>
      </c>
      <c r="I5" s="1326" t="s">
        <v>121</v>
      </c>
      <c r="J5" s="1325" t="e">
        <f>ROUNDUP(F5/H5,0)</f>
        <v>#VALUE!</v>
      </c>
      <c r="O5" s="255" t="s">
        <v>425</v>
      </c>
      <c r="P5" s="563">
        <v>2000</v>
      </c>
      <c r="Q5" s="12" t="s">
        <v>121</v>
      </c>
      <c r="R5" s="197" t="e">
        <f>J5+J13</f>
        <v>#VALUE!</v>
      </c>
    </row>
    <row r="6" spans="1:18" x14ac:dyDescent="0.25">
      <c r="A6" s="1385" t="s">
        <v>424</v>
      </c>
      <c r="B6" s="1365">
        <v>10</v>
      </c>
      <c r="C6" s="1323">
        <v>7.4999999999999997E-2</v>
      </c>
      <c r="D6" s="1323">
        <v>30</v>
      </c>
      <c r="E6" s="1323">
        <v>1306</v>
      </c>
      <c r="F6" s="1323">
        <f>ROUNDUP(C6/0.51*E6*B6,0)</f>
        <v>1921</v>
      </c>
      <c r="G6" s="1326" t="s">
        <v>121</v>
      </c>
      <c r="H6" s="1326">
        <v>2500</v>
      </c>
      <c r="I6" s="1326" t="s">
        <v>121</v>
      </c>
      <c r="J6" s="1325">
        <f>ROUNDUP(F6/H6,0)</f>
        <v>1</v>
      </c>
      <c r="O6" s="255" t="s">
        <v>424</v>
      </c>
      <c r="P6" s="563">
        <v>2500</v>
      </c>
      <c r="Q6" s="12" t="s">
        <v>121</v>
      </c>
      <c r="R6" s="197">
        <f>J6</f>
        <v>1</v>
      </c>
    </row>
    <row r="7" spans="1:18" x14ac:dyDescent="0.25">
      <c r="A7" s="1386" t="s">
        <v>441</v>
      </c>
      <c r="B7" s="1328">
        <v>6</v>
      </c>
      <c r="C7" s="1308">
        <v>0.05</v>
      </c>
      <c r="D7" s="1308">
        <v>30</v>
      </c>
      <c r="E7" s="1308">
        <v>1306</v>
      </c>
      <c r="F7" s="1308">
        <f>ROUNDUP(C7/0.2*E7*B7,0)</f>
        <v>1959</v>
      </c>
      <c r="G7" s="1308" t="s">
        <v>121</v>
      </c>
      <c r="H7" s="1308">
        <v>2000</v>
      </c>
      <c r="I7" s="1308" t="s">
        <v>121</v>
      </c>
      <c r="J7" s="1311">
        <f>ROUNDUP(F7/H7,0)</f>
        <v>1</v>
      </c>
      <c r="O7" s="255" t="s">
        <v>441</v>
      </c>
      <c r="P7" s="563">
        <v>2000</v>
      </c>
      <c r="Q7" s="12" t="s">
        <v>121</v>
      </c>
      <c r="R7" s="197">
        <f>J7+J20</f>
        <v>2</v>
      </c>
    </row>
    <row r="8" spans="1:18" x14ac:dyDescent="0.25">
      <c r="A8" s="1291"/>
      <c r="B8" s="1291"/>
      <c r="C8" s="1291"/>
      <c r="D8" s="1291"/>
      <c r="E8" s="1291"/>
      <c r="F8" s="1291"/>
      <c r="G8" s="1291"/>
      <c r="H8" s="1291"/>
      <c r="I8" s="1291"/>
      <c r="J8" s="1291"/>
      <c r="O8" s="255" t="s">
        <v>442</v>
      </c>
      <c r="P8" s="563">
        <v>2000</v>
      </c>
      <c r="Q8" s="12" t="s">
        <v>121</v>
      </c>
      <c r="R8" s="197">
        <f>J11</f>
        <v>11</v>
      </c>
    </row>
    <row r="9" spans="1:18" ht="21" x14ac:dyDescent="0.35">
      <c r="A9" s="1537" t="s">
        <v>443</v>
      </c>
      <c r="B9" s="1538"/>
      <c r="C9" s="1538"/>
      <c r="D9" s="1538"/>
      <c r="E9" s="1538"/>
      <c r="F9" s="1538"/>
      <c r="G9" s="1538"/>
      <c r="H9" s="1538"/>
      <c r="I9" s="1538"/>
      <c r="J9" s="1539"/>
      <c r="O9" s="255" t="s">
        <v>429</v>
      </c>
      <c r="P9" s="563">
        <v>2000</v>
      </c>
      <c r="Q9" s="12" t="s">
        <v>121</v>
      </c>
      <c r="R9" s="197">
        <f>J12</f>
        <v>8</v>
      </c>
    </row>
    <row r="10" spans="1:18" x14ac:dyDescent="0.25">
      <c r="A10" s="1375" t="s">
        <v>2</v>
      </c>
      <c r="B10" s="1375" t="s">
        <v>100</v>
      </c>
      <c r="C10" s="1375" t="s">
        <v>101</v>
      </c>
      <c r="D10" s="1375" t="s">
        <v>5</v>
      </c>
      <c r="E10" s="1375" t="s">
        <v>102</v>
      </c>
      <c r="F10" s="1375" t="s">
        <v>136</v>
      </c>
      <c r="G10" s="1375" t="s">
        <v>105</v>
      </c>
      <c r="H10" s="1375" t="s">
        <v>104</v>
      </c>
      <c r="I10" s="1375" t="s">
        <v>105</v>
      </c>
      <c r="J10" s="1375" t="s">
        <v>107</v>
      </c>
      <c r="O10" s="255" t="s">
        <v>373</v>
      </c>
      <c r="P10" s="563">
        <v>3000</v>
      </c>
      <c r="Q10" s="12" t="s">
        <v>121</v>
      </c>
      <c r="R10" s="197">
        <f>J14</f>
        <v>2</v>
      </c>
    </row>
    <row r="11" spans="1:18" x14ac:dyDescent="0.25">
      <c r="A11" s="1379" t="s">
        <v>442</v>
      </c>
      <c r="B11" s="1319">
        <v>1</v>
      </c>
      <c r="C11" s="1313">
        <v>1.5</v>
      </c>
      <c r="D11" s="1309">
        <v>80</v>
      </c>
      <c r="E11" s="1312">
        <v>3485</v>
      </c>
      <c r="F11" s="1309">
        <f>ROUNDUP(C11/0.24*E11,0)</f>
        <v>21782</v>
      </c>
      <c r="G11" s="1313" t="s">
        <v>121</v>
      </c>
      <c r="H11" s="1309">
        <v>2000</v>
      </c>
      <c r="I11" s="1312" t="s">
        <v>121</v>
      </c>
      <c r="J11" s="1310">
        <f>ROUNDUP(F11/H11,0)</f>
        <v>11</v>
      </c>
      <c r="K11" t="s">
        <v>444</v>
      </c>
      <c r="O11" s="255" t="s">
        <v>445</v>
      </c>
      <c r="P11" s="563">
        <v>50</v>
      </c>
      <c r="Q11" s="12" t="s">
        <v>121</v>
      </c>
      <c r="R11" s="197">
        <f>J18</f>
        <v>8</v>
      </c>
    </row>
    <row r="12" spans="1:18" x14ac:dyDescent="0.25">
      <c r="A12" s="1380" t="s">
        <v>429</v>
      </c>
      <c r="B12" s="1321">
        <v>1</v>
      </c>
      <c r="C12" s="1322">
        <v>1.27</v>
      </c>
      <c r="D12" s="1323">
        <v>80</v>
      </c>
      <c r="E12" s="1323">
        <v>3485</v>
      </c>
      <c r="F12" s="1329">
        <f>ROUNDUP(C12/0.29*E12,0)</f>
        <v>15262</v>
      </c>
      <c r="G12" s="1323" t="s">
        <v>121</v>
      </c>
      <c r="H12" s="1323">
        <v>2000</v>
      </c>
      <c r="I12" s="1323" t="s">
        <v>121</v>
      </c>
      <c r="J12" s="1330">
        <f>ROUNDUP(F12/H12,0)</f>
        <v>8</v>
      </c>
      <c r="O12" s="255" t="s">
        <v>446</v>
      </c>
      <c r="P12" s="563">
        <v>2000</v>
      </c>
      <c r="Q12" s="12" t="s">
        <v>121</v>
      </c>
      <c r="R12" s="197">
        <f>J19</f>
        <v>3</v>
      </c>
    </row>
    <row r="13" spans="1:18" x14ac:dyDescent="0.25">
      <c r="A13" s="1381" t="s">
        <v>425</v>
      </c>
      <c r="B13" s="1322">
        <v>7</v>
      </c>
      <c r="C13" s="1323">
        <v>6.5000000000000002E-2</v>
      </c>
      <c r="D13" s="1323">
        <v>80</v>
      </c>
      <c r="E13" s="1324">
        <v>3485</v>
      </c>
      <c r="F13" s="1323">
        <f>ROUNDUP(C13/0.46*E13*B13,0)</f>
        <v>3448</v>
      </c>
      <c r="G13" s="1322" t="s">
        <v>121</v>
      </c>
      <c r="H13" s="1323">
        <v>2000</v>
      </c>
      <c r="I13" s="1323" t="s">
        <v>121</v>
      </c>
      <c r="J13" s="1325">
        <f t="shared" ref="J13:J14" si="0">ROUNDUP(F13/H13,0)</f>
        <v>2</v>
      </c>
      <c r="O13" s="257" t="s">
        <v>447</v>
      </c>
      <c r="P13" s="597">
        <v>2800</v>
      </c>
      <c r="Q13" s="598" t="s">
        <v>121</v>
      </c>
      <c r="R13" s="599">
        <f>J21</f>
        <v>1</v>
      </c>
    </row>
    <row r="14" spans="1:18" x14ac:dyDescent="0.25">
      <c r="A14" s="1382" t="s">
        <v>373</v>
      </c>
      <c r="B14" s="1317">
        <v>7</v>
      </c>
      <c r="C14" s="1308">
        <v>7.0000000000000007E-2</v>
      </c>
      <c r="D14" s="1308">
        <v>80</v>
      </c>
      <c r="E14" s="1308">
        <v>3485</v>
      </c>
      <c r="F14" s="1308">
        <f>ROUNDUP(C14/0.5*E14*B14,0)</f>
        <v>3416</v>
      </c>
      <c r="G14" s="1308" t="s">
        <v>121</v>
      </c>
      <c r="H14" s="1308">
        <v>3000</v>
      </c>
      <c r="I14" s="1308" t="s">
        <v>121</v>
      </c>
      <c r="J14" s="1311">
        <f t="shared" si="0"/>
        <v>2</v>
      </c>
    </row>
    <row r="16" spans="1:18" ht="21" x14ac:dyDescent="0.35">
      <c r="A16" s="1540" t="s">
        <v>448</v>
      </c>
      <c r="B16" s="1541"/>
      <c r="C16" s="1541"/>
      <c r="D16" s="1541"/>
      <c r="E16" s="1541"/>
      <c r="F16" s="1541"/>
      <c r="G16" s="1541"/>
      <c r="H16" s="1541"/>
      <c r="I16" s="1541"/>
      <c r="J16" s="1542"/>
    </row>
    <row r="17" spans="1:10" x14ac:dyDescent="0.25">
      <c r="A17" s="1376" t="s">
        <v>2</v>
      </c>
      <c r="B17" s="1376" t="s">
        <v>100</v>
      </c>
      <c r="C17" s="1376" t="s">
        <v>101</v>
      </c>
      <c r="D17" s="1376" t="s">
        <v>5</v>
      </c>
      <c r="E17" s="1376" t="s">
        <v>102</v>
      </c>
      <c r="F17" s="1376" t="s">
        <v>136</v>
      </c>
      <c r="G17" s="1376" t="s">
        <v>105</v>
      </c>
      <c r="H17" s="1376" t="s">
        <v>104</v>
      </c>
      <c r="I17" s="1376" t="s">
        <v>105</v>
      </c>
      <c r="J17" s="1376" t="s">
        <v>107</v>
      </c>
    </row>
    <row r="18" spans="1:10" x14ac:dyDescent="0.25">
      <c r="A18" s="1377" t="s">
        <v>445</v>
      </c>
      <c r="B18" s="591">
        <v>6</v>
      </c>
      <c r="C18" s="12">
        <v>0.05</v>
      </c>
      <c r="D18" s="12">
        <v>6.4</v>
      </c>
      <c r="E18" s="12">
        <v>280</v>
      </c>
      <c r="F18" s="1315">
        <f>ROUNDUP(C18/0.21*E18*B18,0)</f>
        <v>400</v>
      </c>
      <c r="G18" s="12" t="s">
        <v>121</v>
      </c>
      <c r="H18" s="12">
        <v>50</v>
      </c>
      <c r="I18" s="12" t="s">
        <v>121</v>
      </c>
      <c r="J18" s="1316">
        <f>ROUNDUP(F18/H18,0)</f>
        <v>8</v>
      </c>
    </row>
    <row r="19" spans="1:10" x14ac:dyDescent="0.25">
      <c r="A19" s="1377" t="s">
        <v>449</v>
      </c>
      <c r="B19" s="591">
        <v>3</v>
      </c>
      <c r="C19" s="12">
        <v>10</v>
      </c>
      <c r="D19" s="12">
        <v>4</v>
      </c>
      <c r="E19" s="145">
        <v>175</v>
      </c>
      <c r="F19" s="1326">
        <f>ROUNDUP(C19*E19*B19,0)</f>
        <v>5250</v>
      </c>
      <c r="G19" s="591" t="s">
        <v>121</v>
      </c>
      <c r="H19" s="12">
        <v>2000</v>
      </c>
      <c r="I19" s="12" t="s">
        <v>121</v>
      </c>
      <c r="J19" s="1331">
        <f>ROUNDUP(F19/H19,0)</f>
        <v>3</v>
      </c>
    </row>
    <row r="20" spans="1:10" x14ac:dyDescent="0.25">
      <c r="A20" s="1377" t="s">
        <v>441</v>
      </c>
      <c r="B20" s="591">
        <v>10</v>
      </c>
      <c r="C20" s="12">
        <v>0.05</v>
      </c>
      <c r="D20" s="12">
        <v>6.4</v>
      </c>
      <c r="E20" s="12">
        <v>280</v>
      </c>
      <c r="F20" s="1326">
        <f>ROUNDUP(C20/0.2*E20*B20,0)</f>
        <v>700</v>
      </c>
      <c r="G20" s="12" t="s">
        <v>121</v>
      </c>
      <c r="H20" s="12">
        <v>2000</v>
      </c>
      <c r="I20" s="12" t="s">
        <v>121</v>
      </c>
      <c r="J20" s="1331">
        <f t="shared" ref="J20:J21" si="1">ROUNDUP(F20/H20,0)</f>
        <v>1</v>
      </c>
    </row>
    <row r="21" spans="1:10" x14ac:dyDescent="0.25">
      <c r="A21" s="1378" t="s">
        <v>450</v>
      </c>
      <c r="B21" s="1320">
        <v>5</v>
      </c>
      <c r="C21" s="222">
        <v>2.5000000000000001E-2</v>
      </c>
      <c r="D21" s="222">
        <v>6.4</v>
      </c>
      <c r="E21" s="222">
        <v>280</v>
      </c>
      <c r="F21" s="1326">
        <f>ROUNDUP(C21/0.137*E21*B21,0)</f>
        <v>256</v>
      </c>
      <c r="G21" s="12" t="s">
        <v>121</v>
      </c>
      <c r="H21" s="12">
        <v>2800</v>
      </c>
      <c r="I21" s="12" t="s">
        <v>121</v>
      </c>
      <c r="J21" s="1331">
        <f t="shared" si="1"/>
        <v>1</v>
      </c>
    </row>
    <row r="22" spans="1:10" x14ac:dyDescent="0.25">
      <c r="B22" s="1314"/>
      <c r="C22" s="1314"/>
      <c r="D22" s="1314"/>
      <c r="E22" s="1314"/>
      <c r="F22" s="1314"/>
      <c r="G22" s="1314"/>
      <c r="H22" s="1314"/>
      <c r="I22" s="1314"/>
      <c r="J22" s="1314"/>
    </row>
  </sheetData>
  <mergeCells count="4">
    <mergeCell ref="A1:J1"/>
    <mergeCell ref="A9:J9"/>
    <mergeCell ref="A16:J16"/>
    <mergeCell ref="O1:R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4DC7-D38F-4BDE-B1CD-84A58C7EEC31}">
  <sheetPr>
    <tabColor rgb="FFFF0000"/>
  </sheetPr>
  <dimension ref="A1:O30"/>
  <sheetViews>
    <sheetView workbookViewId="0">
      <selection activeCell="Q17" sqref="Q17"/>
    </sheetView>
  </sheetViews>
  <sheetFormatPr defaultRowHeight="15" x14ac:dyDescent="0.25"/>
  <cols>
    <col min="1" max="1" width="19.140625" bestFit="1" customWidth="1"/>
    <col min="2" max="2" width="14.85546875" bestFit="1" customWidth="1"/>
    <col min="3" max="3" width="12.85546875" bestFit="1" customWidth="1"/>
    <col min="4" max="4" width="12" bestFit="1" customWidth="1"/>
    <col min="5" max="5" width="6.42578125" bestFit="1" customWidth="1"/>
    <col min="6" max="6" width="5.42578125" bestFit="1" customWidth="1"/>
    <col min="7" max="7" width="10.85546875" bestFit="1" customWidth="1"/>
    <col min="8" max="8" width="11.5703125" bestFit="1" customWidth="1"/>
    <col min="9" max="9" width="19.7109375" bestFit="1" customWidth="1"/>
    <col min="10" max="10" width="14.85546875" bestFit="1" customWidth="1"/>
    <col min="11" max="11" width="6.7109375" bestFit="1" customWidth="1"/>
    <col min="12" max="12" width="14.140625" bestFit="1" customWidth="1"/>
    <col min="13" max="13" width="14.7109375" bestFit="1" customWidth="1"/>
    <col min="14" max="14" width="6.140625" bestFit="1" customWidth="1"/>
    <col min="15" max="15" width="17.7109375" bestFit="1" customWidth="1"/>
  </cols>
  <sheetData>
    <row r="1" spans="1:15" ht="23.25" x14ac:dyDescent="0.35">
      <c r="A1" s="1544" t="s">
        <v>451</v>
      </c>
      <c r="B1" s="1545"/>
      <c r="C1" s="1546"/>
      <c r="D1" s="1546"/>
      <c r="E1" s="1546"/>
      <c r="F1" s="1546"/>
      <c r="G1" s="1546"/>
      <c r="H1" s="1546"/>
      <c r="I1" s="1546"/>
      <c r="J1" s="1546"/>
      <c r="K1" s="1546"/>
      <c r="L1" s="1546"/>
      <c r="M1" s="1546"/>
      <c r="N1" s="1545"/>
      <c r="O1" s="1332"/>
    </row>
    <row r="2" spans="1:15" ht="18.75" x14ac:dyDescent="0.3">
      <c r="A2" s="1367" t="s">
        <v>2</v>
      </c>
      <c r="B2" s="1022" t="s">
        <v>147</v>
      </c>
      <c r="C2" s="1362" t="s">
        <v>100</v>
      </c>
      <c r="D2" s="1362" t="s">
        <v>452</v>
      </c>
      <c r="E2" s="1362" t="s">
        <v>5</v>
      </c>
      <c r="F2" s="1362" t="s">
        <v>102</v>
      </c>
      <c r="G2" s="1363" t="s">
        <v>149</v>
      </c>
      <c r="H2" s="1363" t="s">
        <v>150</v>
      </c>
      <c r="I2" s="1363" t="s">
        <v>151</v>
      </c>
      <c r="J2" s="1363" t="s">
        <v>152</v>
      </c>
      <c r="K2" s="1362" t="s">
        <v>107</v>
      </c>
      <c r="L2" s="1363" t="s">
        <v>153</v>
      </c>
      <c r="M2" s="1362" t="s">
        <v>104</v>
      </c>
      <c r="N2" s="1022" t="s">
        <v>105</v>
      </c>
      <c r="O2" s="1333" t="s">
        <v>154</v>
      </c>
    </row>
    <row r="3" spans="1:15" x14ac:dyDescent="0.25">
      <c r="A3" s="1373" t="s">
        <v>438</v>
      </c>
      <c r="B3" s="1027" t="s">
        <v>453</v>
      </c>
      <c r="C3" s="1027">
        <f>'Rough Quantities'!C3</f>
        <v>1</v>
      </c>
      <c r="D3" s="1027">
        <v>0.75</v>
      </c>
      <c r="E3" s="1027">
        <v>30</v>
      </c>
      <c r="F3" s="1027">
        <v>1306</v>
      </c>
      <c r="G3" s="1028">
        <f>H3/E3</f>
        <v>163.25</v>
      </c>
      <c r="H3" s="1028">
        <f>D3/0.16*F3/M3*J3</f>
        <v>4897.5</v>
      </c>
      <c r="I3" s="753">
        <f>H3*C3</f>
        <v>4897.5</v>
      </c>
      <c r="J3" s="1028">
        <v>1600</v>
      </c>
      <c r="K3" s="1027">
        <f>'Granular Fertilizer'!J3</f>
        <v>4</v>
      </c>
      <c r="L3" s="1028">
        <f>SUM(J3*K3)</f>
        <v>6400</v>
      </c>
      <c r="M3" s="1027">
        <v>2000</v>
      </c>
      <c r="N3" s="1029" t="s">
        <v>121</v>
      </c>
      <c r="O3" s="1030">
        <f>H3</f>
        <v>4897.5</v>
      </c>
    </row>
    <row r="4" spans="1:15" x14ac:dyDescent="0.25">
      <c r="A4" s="1373" t="s">
        <v>440</v>
      </c>
      <c r="B4" s="1027" t="s">
        <v>453</v>
      </c>
      <c r="C4" s="1027">
        <v>1</v>
      </c>
      <c r="D4" s="1027">
        <v>0.75</v>
      </c>
      <c r="E4" s="1027">
        <v>4</v>
      </c>
      <c r="F4" s="1027">
        <v>1306</v>
      </c>
      <c r="G4" s="1028">
        <f>H4/E4</f>
        <v>1539.2142857142856</v>
      </c>
      <c r="H4" s="1028">
        <f>D4/0.14*F4/M4*J4</f>
        <v>6156.8571428571422</v>
      </c>
      <c r="I4" s="753">
        <f>H4*C4</f>
        <v>6156.8571428571422</v>
      </c>
      <c r="J4" s="1028">
        <v>1760</v>
      </c>
      <c r="K4" s="1027">
        <f>'Granular Fertilizer'!J4</f>
        <v>1</v>
      </c>
      <c r="L4" s="1028">
        <f>SUM(J4*K4)</f>
        <v>1760</v>
      </c>
      <c r="M4" s="1027">
        <v>2000</v>
      </c>
      <c r="N4" s="1029" t="s">
        <v>121</v>
      </c>
      <c r="O4" s="1030">
        <f t="shared" ref="O4:O7" si="0">H4</f>
        <v>6156.8571428571422</v>
      </c>
    </row>
    <row r="5" spans="1:15" x14ac:dyDescent="0.25">
      <c r="A5" s="1373" t="s">
        <v>425</v>
      </c>
      <c r="B5" s="1027" t="s">
        <v>454</v>
      </c>
      <c r="C5" s="1027">
        <f>'Granular Fertilizer'!B5</f>
        <v>18</v>
      </c>
      <c r="D5" s="1027">
        <v>6.5000000000000002E-2</v>
      </c>
      <c r="E5" s="1027">
        <v>30</v>
      </c>
      <c r="F5" s="1027">
        <v>1306</v>
      </c>
      <c r="G5" s="1028">
        <f t="shared" ref="G5:G7" si="1">H5/E5</f>
        <v>5.1057028985507253</v>
      </c>
      <c r="H5" s="1028">
        <f>D5/0.46*F5/M5*J5</f>
        <v>153.17108695652175</v>
      </c>
      <c r="I5" s="753">
        <v>2861.11</v>
      </c>
      <c r="J5" s="1028">
        <v>1660</v>
      </c>
      <c r="K5" s="1027" t="e">
        <f>'Granular Fertilizer'!J5</f>
        <v>#VALUE!</v>
      </c>
      <c r="L5" s="1028" t="e">
        <f t="shared" ref="L5:L7" si="2">SUM(J5*K5)</f>
        <v>#VALUE!</v>
      </c>
      <c r="M5" s="1027">
        <v>2000</v>
      </c>
      <c r="N5" s="1029" t="s">
        <v>121</v>
      </c>
      <c r="O5" s="1030">
        <f t="shared" si="0"/>
        <v>153.17108695652175</v>
      </c>
    </row>
    <row r="6" spans="1:15" x14ac:dyDescent="0.25">
      <c r="A6" s="1373" t="s">
        <v>424</v>
      </c>
      <c r="B6" s="1027" t="s">
        <v>455</v>
      </c>
      <c r="C6" s="1027">
        <f>'Granular Fertilizer'!B6</f>
        <v>10</v>
      </c>
      <c r="D6" s="1027">
        <v>7.4999999999999997E-2</v>
      </c>
      <c r="E6" s="1027">
        <v>30</v>
      </c>
      <c r="F6" s="1027">
        <v>1306</v>
      </c>
      <c r="G6" s="1028">
        <f>H6/E6</f>
        <v>4.3021176470588234</v>
      </c>
      <c r="H6" s="1028">
        <f>D6/0.51*F6/M6*J6</f>
        <v>129.0635294117647</v>
      </c>
      <c r="I6" s="753">
        <v>1680</v>
      </c>
      <c r="J6" s="1028">
        <v>1680</v>
      </c>
      <c r="K6" s="1027">
        <f>'Granular Fertilizer'!J6</f>
        <v>1</v>
      </c>
      <c r="L6" s="1028">
        <f t="shared" si="2"/>
        <v>1680</v>
      </c>
      <c r="M6" s="1027">
        <v>2500</v>
      </c>
      <c r="N6" s="1029" t="s">
        <v>121</v>
      </c>
      <c r="O6" s="1030">
        <f t="shared" ref="O6" si="3">H6</f>
        <v>129.0635294117647</v>
      </c>
    </row>
    <row r="7" spans="1:15" x14ac:dyDescent="0.25">
      <c r="A7" s="1374" t="s">
        <v>441</v>
      </c>
      <c r="B7" s="1334" t="s">
        <v>455</v>
      </c>
      <c r="C7" s="1334">
        <f>'Granular Fertilizer'!B7</f>
        <v>6</v>
      </c>
      <c r="D7" s="1334">
        <v>0.05</v>
      </c>
      <c r="E7" s="1334">
        <v>30</v>
      </c>
      <c r="F7" s="1334">
        <v>1306</v>
      </c>
      <c r="G7" s="1335">
        <f t="shared" si="1"/>
        <v>17.413333333333334</v>
      </c>
      <c r="H7" s="1335">
        <f>D7/0.2*F7/M7*J7</f>
        <v>522.4</v>
      </c>
      <c r="I7" s="1336">
        <v>3200</v>
      </c>
      <c r="J7" s="1335">
        <v>3200</v>
      </c>
      <c r="K7" s="1334">
        <f>'Granular Fertilizer'!J7</f>
        <v>1</v>
      </c>
      <c r="L7" s="1335">
        <f t="shared" si="2"/>
        <v>3200</v>
      </c>
      <c r="M7" s="1334">
        <v>2000</v>
      </c>
      <c r="N7" s="1337" t="s">
        <v>121</v>
      </c>
      <c r="O7" s="1338">
        <f t="shared" si="0"/>
        <v>522.4</v>
      </c>
    </row>
    <row r="8" spans="1:15" x14ac:dyDescent="0.25">
      <c r="A8" s="1374" t="s">
        <v>456</v>
      </c>
      <c r="B8" s="1334"/>
      <c r="C8" s="1334"/>
      <c r="D8" s="1334"/>
      <c r="E8" s="1334"/>
      <c r="F8" s="1334"/>
      <c r="G8" s="1335"/>
      <c r="H8" s="1335"/>
      <c r="I8" s="1336"/>
      <c r="J8" s="1335"/>
      <c r="K8" s="1334"/>
      <c r="L8" s="1335" t="e">
        <f>SUM(L3:L7)</f>
        <v>#VALUE!</v>
      </c>
      <c r="M8" s="1334"/>
      <c r="N8" s="1337"/>
      <c r="O8" s="1338"/>
    </row>
    <row r="10" spans="1:15" ht="23.25" x14ac:dyDescent="0.35">
      <c r="A10" s="1544" t="s">
        <v>457</v>
      </c>
      <c r="B10" s="1545"/>
      <c r="C10" s="1546"/>
      <c r="D10" s="1546"/>
      <c r="E10" s="1546"/>
      <c r="F10" s="1546"/>
      <c r="G10" s="1546"/>
      <c r="H10" s="1546"/>
      <c r="I10" s="1546"/>
      <c r="J10" s="1546"/>
      <c r="K10" s="1546"/>
      <c r="L10" s="1546"/>
      <c r="M10" s="1546"/>
      <c r="N10" s="1546"/>
      <c r="O10" s="1332"/>
    </row>
    <row r="11" spans="1:15" ht="18.75" x14ac:dyDescent="0.3">
      <c r="A11" s="1367" t="s">
        <v>2</v>
      </c>
      <c r="B11" s="1022" t="s">
        <v>147</v>
      </c>
      <c r="C11" s="1362" t="s">
        <v>100</v>
      </c>
      <c r="D11" s="1362" t="s">
        <v>452</v>
      </c>
      <c r="E11" s="1362" t="s">
        <v>5</v>
      </c>
      <c r="F11" s="1362" t="s">
        <v>102</v>
      </c>
      <c r="G11" s="1363" t="s">
        <v>149</v>
      </c>
      <c r="H11" s="1363" t="s">
        <v>150</v>
      </c>
      <c r="I11" s="1363" t="s">
        <v>151</v>
      </c>
      <c r="J11" s="1363" t="s">
        <v>152</v>
      </c>
      <c r="K11" s="1362" t="s">
        <v>107</v>
      </c>
      <c r="L11" s="1363" t="s">
        <v>153</v>
      </c>
      <c r="M11" s="1362" t="s">
        <v>104</v>
      </c>
      <c r="N11" s="1362" t="s">
        <v>105</v>
      </c>
      <c r="O11" s="1364" t="s">
        <v>154</v>
      </c>
    </row>
    <row r="12" spans="1:15" x14ac:dyDescent="0.25">
      <c r="A12" s="1371" t="s">
        <v>458</v>
      </c>
      <c r="B12" s="1339" t="s">
        <v>176</v>
      </c>
      <c r="C12" s="1339">
        <v>1</v>
      </c>
      <c r="D12" s="1339">
        <v>1.5</v>
      </c>
      <c r="E12" s="1339">
        <v>80</v>
      </c>
      <c r="F12" s="1339">
        <v>3485</v>
      </c>
      <c r="G12" s="1340">
        <f>H12/E12</f>
        <v>392.0625</v>
      </c>
      <c r="H12" s="1340">
        <f>D12/0.24*F12/M12*J12</f>
        <v>31365</v>
      </c>
      <c r="I12" s="1341">
        <f>H12*C12</f>
        <v>31365</v>
      </c>
      <c r="J12" s="1340">
        <v>2880</v>
      </c>
      <c r="K12" s="1339">
        <f>'Granular Fertilizer'!J11</f>
        <v>11</v>
      </c>
      <c r="L12" s="1340">
        <f>SUM(J12*K12)</f>
        <v>31680</v>
      </c>
      <c r="M12" s="1339">
        <v>2000</v>
      </c>
      <c r="N12" s="1342" t="s">
        <v>121</v>
      </c>
      <c r="O12" s="1030">
        <f>H12</f>
        <v>31365</v>
      </c>
    </row>
    <row r="13" spans="1:15" x14ac:dyDescent="0.25">
      <c r="A13" s="1371" t="s">
        <v>429</v>
      </c>
      <c r="B13" s="1339" t="s">
        <v>176</v>
      </c>
      <c r="C13" s="1339">
        <v>1</v>
      </c>
      <c r="D13" s="1339">
        <v>1.27</v>
      </c>
      <c r="E13" s="1339">
        <v>80</v>
      </c>
      <c r="F13" s="1339">
        <v>3485</v>
      </c>
      <c r="G13" s="1340">
        <f t="shared" ref="G13:G15" si="4">H13/E13</f>
        <v>209.85107758620688</v>
      </c>
      <c r="H13" s="1340">
        <f>D13/0.29*F13/M13*J13</f>
        <v>16788.086206896551</v>
      </c>
      <c r="I13" s="1341">
        <f t="shared" ref="I13:I14" si="5">H13*C13</f>
        <v>16788.086206896551</v>
      </c>
      <c r="J13" s="1340">
        <v>2200</v>
      </c>
      <c r="K13" s="1339">
        <f>'Granular Fertilizer'!J12</f>
        <v>8</v>
      </c>
      <c r="L13" s="1340">
        <f t="shared" ref="L13:L15" si="6">SUM(J13*K13)</f>
        <v>17600</v>
      </c>
      <c r="M13" s="1339">
        <v>2000</v>
      </c>
      <c r="N13" s="1342" t="s">
        <v>121</v>
      </c>
      <c r="O13" s="1030">
        <f>H13</f>
        <v>16788.086206896551</v>
      </c>
    </row>
    <row r="14" spans="1:15" x14ac:dyDescent="0.25">
      <c r="A14" s="1371" t="s">
        <v>425</v>
      </c>
      <c r="B14" s="1339" t="s">
        <v>454</v>
      </c>
      <c r="C14" s="1339">
        <f>'Granular Fertilizer'!B13</f>
        <v>7</v>
      </c>
      <c r="D14" s="1339">
        <v>6.5000000000000002E-2</v>
      </c>
      <c r="E14" s="1339">
        <v>80</v>
      </c>
      <c r="F14" s="1339">
        <v>3485</v>
      </c>
      <c r="G14" s="1340">
        <f t="shared" si="4"/>
        <v>5.1091236413043477</v>
      </c>
      <c r="H14" s="1340">
        <f>D14/0.46*F14/M14*J14</f>
        <v>408.7298913043478</v>
      </c>
      <c r="I14" s="1341">
        <f t="shared" si="5"/>
        <v>2861.1092391304346</v>
      </c>
      <c r="J14" s="1340">
        <v>1660</v>
      </c>
      <c r="K14" s="1339">
        <f>'Granular Fertilizer'!J13</f>
        <v>2</v>
      </c>
      <c r="L14" s="1340">
        <f t="shared" si="6"/>
        <v>3320</v>
      </c>
      <c r="M14" s="1339">
        <v>2000</v>
      </c>
      <c r="N14" s="1342" t="s">
        <v>121</v>
      </c>
      <c r="O14" s="1030">
        <f t="shared" ref="O14:O15" si="7">H14</f>
        <v>408.7298913043478</v>
      </c>
    </row>
    <row r="15" spans="1:15" x14ac:dyDescent="0.25">
      <c r="A15" s="1372" t="s">
        <v>373</v>
      </c>
      <c r="B15" s="1343" t="s">
        <v>459</v>
      </c>
      <c r="C15" s="1343">
        <f>'Granular Fertilizer'!B14</f>
        <v>7</v>
      </c>
      <c r="D15" s="1343">
        <v>6.5000000000000002E-2</v>
      </c>
      <c r="E15" s="1343">
        <v>80</v>
      </c>
      <c r="F15" s="1343">
        <v>3485</v>
      </c>
      <c r="G15" s="1344">
        <f t="shared" si="4"/>
        <v>5.3573162499999993</v>
      </c>
      <c r="H15" s="1344">
        <f>D15/0.5*F15/M15*J15</f>
        <v>428.58529999999996</v>
      </c>
      <c r="I15" s="1345">
        <v>2838.6</v>
      </c>
      <c r="J15" s="1344">
        <v>2838</v>
      </c>
      <c r="K15" s="1343">
        <f>'Granular Fertilizer'!J14</f>
        <v>2</v>
      </c>
      <c r="L15" s="1344">
        <f t="shared" si="6"/>
        <v>5676</v>
      </c>
      <c r="M15" s="1343">
        <v>3000</v>
      </c>
      <c r="N15" s="1346" t="s">
        <v>121</v>
      </c>
      <c r="O15" s="1338">
        <f t="shared" si="7"/>
        <v>428.58529999999996</v>
      </c>
    </row>
    <row r="16" spans="1:15" x14ac:dyDescent="0.25">
      <c r="A16" s="1372" t="s">
        <v>456</v>
      </c>
      <c r="B16" s="1343"/>
      <c r="C16" s="1343"/>
      <c r="D16" s="1343"/>
      <c r="E16" s="1343"/>
      <c r="F16" s="1343"/>
      <c r="G16" s="1344"/>
      <c r="H16" s="1344"/>
      <c r="I16" s="1345"/>
      <c r="J16" s="1344"/>
      <c r="K16" s="1343"/>
      <c r="L16" s="1344">
        <f>SUM(L12:L15)</f>
        <v>58276</v>
      </c>
      <c r="M16" s="1343"/>
      <c r="N16" s="1346"/>
      <c r="O16" s="1338"/>
    </row>
    <row r="18" spans="1:15" ht="23.25" x14ac:dyDescent="0.35">
      <c r="A18" s="1544" t="s">
        <v>460</v>
      </c>
      <c r="B18" s="1545"/>
      <c r="C18" s="1546"/>
      <c r="D18" s="1546"/>
      <c r="E18" s="1546"/>
      <c r="F18" s="1546"/>
      <c r="G18" s="1546"/>
      <c r="H18" s="1546"/>
      <c r="I18" s="1546"/>
      <c r="J18" s="1546"/>
      <c r="K18" s="1546"/>
      <c r="L18" s="1546"/>
      <c r="M18" s="1546"/>
      <c r="N18" s="1546"/>
      <c r="O18" s="1332"/>
    </row>
    <row r="19" spans="1:15" ht="18.75" x14ac:dyDescent="0.3">
      <c r="A19" s="1367" t="s">
        <v>2</v>
      </c>
      <c r="B19" s="1022" t="s">
        <v>147</v>
      </c>
      <c r="C19" s="1362" t="s">
        <v>100</v>
      </c>
      <c r="D19" s="1362" t="s">
        <v>452</v>
      </c>
      <c r="E19" s="1362" t="s">
        <v>5</v>
      </c>
      <c r="F19" s="1362" t="s">
        <v>102</v>
      </c>
      <c r="G19" s="1363" t="s">
        <v>149</v>
      </c>
      <c r="H19" s="1363" t="s">
        <v>150</v>
      </c>
      <c r="I19" s="1363" t="s">
        <v>151</v>
      </c>
      <c r="J19" s="1363" t="s">
        <v>152</v>
      </c>
      <c r="K19" s="1362" t="s">
        <v>107</v>
      </c>
      <c r="L19" s="1363" t="s">
        <v>153</v>
      </c>
      <c r="M19" s="1362" t="s">
        <v>104</v>
      </c>
      <c r="N19" s="1362" t="s">
        <v>105</v>
      </c>
      <c r="O19" s="1364" t="s">
        <v>154</v>
      </c>
    </row>
    <row r="20" spans="1:15" x14ac:dyDescent="0.25">
      <c r="A20" s="1368" t="s">
        <v>445</v>
      </c>
      <c r="B20" s="1061" t="s">
        <v>461</v>
      </c>
      <c r="C20" s="1061">
        <v>6</v>
      </c>
      <c r="D20" s="1061">
        <v>0.1</v>
      </c>
      <c r="E20" s="1061">
        <v>6.4</v>
      </c>
      <c r="F20" s="1061">
        <v>280</v>
      </c>
      <c r="G20" s="1347">
        <f>H20/E20</f>
        <v>8.6458333333333339</v>
      </c>
      <c r="H20" s="1347">
        <f>D20/0.21*F20/M20*J20</f>
        <v>55.333333333333343</v>
      </c>
      <c r="I20" s="1348">
        <f>H20*C20</f>
        <v>332.00000000000006</v>
      </c>
      <c r="J20" s="1347">
        <v>20.75</v>
      </c>
      <c r="K20" s="1061">
        <f>'Granular Fertilizer'!J18</f>
        <v>8</v>
      </c>
      <c r="L20" s="1347">
        <f>SUM(J20*K20)</f>
        <v>166</v>
      </c>
      <c r="M20" s="1061">
        <v>50</v>
      </c>
      <c r="N20" s="1349" t="s">
        <v>121</v>
      </c>
      <c r="O20" s="1030">
        <f>H20</f>
        <v>55.333333333333343</v>
      </c>
    </row>
    <row r="21" spans="1:15" x14ac:dyDescent="0.25">
      <c r="A21" s="1369" t="s">
        <v>462</v>
      </c>
      <c r="B21" s="1350" t="s">
        <v>463</v>
      </c>
      <c r="C21" s="1350">
        <v>3</v>
      </c>
      <c r="D21" s="1350">
        <v>10</v>
      </c>
      <c r="E21" s="1350">
        <v>4</v>
      </c>
      <c r="F21" s="1350">
        <v>175</v>
      </c>
      <c r="G21" s="1347">
        <f t="shared" ref="G21:G22" si="8">H21/E21</f>
        <v>791.66666666666674</v>
      </c>
      <c r="H21" s="1347">
        <f t="shared" ref="H21" si="9">D21/0.21*F21/M21*J21</f>
        <v>3166.666666666667</v>
      </c>
      <c r="I21" s="1352">
        <f t="shared" ref="I21" si="10">H21*C21</f>
        <v>9500</v>
      </c>
      <c r="J21" s="1347">
        <v>760</v>
      </c>
      <c r="K21" s="1350">
        <f>'Granular Fertilizer'!J19</f>
        <v>3</v>
      </c>
      <c r="L21" s="1351">
        <f t="shared" ref="L21:L23" si="11">SUM(J21*K21)</f>
        <v>2280</v>
      </c>
      <c r="M21" s="1350">
        <v>2000</v>
      </c>
      <c r="N21" s="1353" t="s">
        <v>121</v>
      </c>
      <c r="O21" s="1030">
        <f t="shared" ref="O21:O23" si="12">H21</f>
        <v>3166.666666666667</v>
      </c>
    </row>
    <row r="22" spans="1:15" x14ac:dyDescent="0.25">
      <c r="A22" s="1366" t="s">
        <v>441</v>
      </c>
      <c r="B22" s="1357" t="s">
        <v>455</v>
      </c>
      <c r="C22" s="1357">
        <f>'Granular Fertilizer'!B20</f>
        <v>10</v>
      </c>
      <c r="D22" s="1357">
        <v>0.05</v>
      </c>
      <c r="E22" s="1357">
        <v>6.4</v>
      </c>
      <c r="F22" s="1357">
        <v>280</v>
      </c>
      <c r="G22" s="1347">
        <f t="shared" si="8"/>
        <v>17.5</v>
      </c>
      <c r="H22" s="1347">
        <f>D22/0.2*F22/M22*J22</f>
        <v>112.00000000000001</v>
      </c>
      <c r="I22" s="1359">
        <v>3200</v>
      </c>
      <c r="J22" s="1347">
        <v>3200</v>
      </c>
      <c r="K22" s="1357">
        <f>'Granular Fertilizer'!J20</f>
        <v>1</v>
      </c>
      <c r="L22" s="1358">
        <f t="shared" ref="L22" si="13">SUM(J22*K22)</f>
        <v>3200</v>
      </c>
      <c r="M22" s="1357">
        <v>2000</v>
      </c>
      <c r="N22" s="1361" t="s">
        <v>121</v>
      </c>
      <c r="O22" s="1360">
        <f t="shared" ref="O22" si="14">H22</f>
        <v>112.00000000000001</v>
      </c>
    </row>
    <row r="23" spans="1:15" x14ac:dyDescent="0.25">
      <c r="A23" s="1370" t="s">
        <v>447</v>
      </c>
      <c r="B23" s="1354" t="s">
        <v>455</v>
      </c>
      <c r="C23" s="1354">
        <f>'Granular Fertilizer'!B20</f>
        <v>10</v>
      </c>
      <c r="D23" s="1354">
        <v>0.03</v>
      </c>
      <c r="E23" s="1354">
        <v>6.4</v>
      </c>
      <c r="F23" s="1354">
        <v>280</v>
      </c>
      <c r="G23" s="1387">
        <f>H23/E23</f>
        <v>10.582390510948905</v>
      </c>
      <c r="H23" s="1387">
        <f>D23/0.137*F23/M23*J23</f>
        <v>67.72729927007299</v>
      </c>
      <c r="I23" s="1388">
        <v>3092.88</v>
      </c>
      <c r="J23" s="1387">
        <v>3092.88</v>
      </c>
      <c r="K23" s="1354">
        <f>'Granular Fertilizer'!J20</f>
        <v>1</v>
      </c>
      <c r="L23" s="1355">
        <f t="shared" si="11"/>
        <v>3092.88</v>
      </c>
      <c r="M23" s="1354">
        <v>2800</v>
      </c>
      <c r="N23" s="1356" t="s">
        <v>121</v>
      </c>
      <c r="O23" s="1338">
        <f t="shared" si="12"/>
        <v>67.72729927007299</v>
      </c>
    </row>
    <row r="24" spans="1:15" x14ac:dyDescent="0.25">
      <c r="A24" s="1370" t="s">
        <v>456</v>
      </c>
      <c r="B24" s="1354"/>
      <c r="C24" s="1354"/>
      <c r="D24" s="1354"/>
      <c r="E24" s="1354"/>
      <c r="F24" s="1354"/>
      <c r="G24" s="1387"/>
      <c r="H24" s="1387"/>
      <c r="I24" s="1388"/>
      <c r="J24" s="1387"/>
      <c r="K24" s="1354"/>
      <c r="L24" s="1355">
        <f>SUM(L20:L23)</f>
        <v>8738.880000000001</v>
      </c>
      <c r="M24" s="1354"/>
      <c r="N24" s="1356"/>
      <c r="O24" s="1338"/>
    </row>
    <row r="26" spans="1:15" x14ac:dyDescent="0.25">
      <c r="A26" t="s">
        <v>464</v>
      </c>
      <c r="L26" s="424" t="e">
        <f>SUM(L24+L16+L8)</f>
        <v>#VALUE!</v>
      </c>
    </row>
    <row r="30" spans="1:15" x14ac:dyDescent="0.25">
      <c r="J30" t="s">
        <v>34</v>
      </c>
    </row>
  </sheetData>
  <mergeCells count="3">
    <mergeCell ref="A1:N1"/>
    <mergeCell ref="A10:N10"/>
    <mergeCell ref="A18:N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DCE5-1B13-47EC-9666-99A0323B9013}">
  <dimension ref="A1:Q120"/>
  <sheetViews>
    <sheetView topLeftCell="A40" workbookViewId="0">
      <selection activeCell="I60" sqref="I60"/>
    </sheetView>
  </sheetViews>
  <sheetFormatPr defaultRowHeight="15" x14ac:dyDescent="0.25"/>
  <cols>
    <col min="1" max="1" width="19.42578125" bestFit="1" customWidth="1"/>
    <col min="2" max="2" width="14.140625" bestFit="1" customWidth="1"/>
    <col min="3" max="3" width="15" bestFit="1" customWidth="1"/>
    <col min="4" max="4" width="15.7109375" bestFit="1" customWidth="1"/>
    <col min="5" max="5" width="14.28515625" bestFit="1" customWidth="1"/>
    <col min="10" max="10" width="19.140625" bestFit="1" customWidth="1"/>
    <col min="12" max="12" width="14.85546875" bestFit="1" customWidth="1"/>
    <col min="14" max="14" width="14.42578125" bestFit="1" customWidth="1"/>
    <col min="16" max="16" width="8.7109375" customWidth="1"/>
    <col min="17" max="17" width="11.7109375" bestFit="1" customWidth="1"/>
  </cols>
  <sheetData>
    <row r="1" spans="1:14" ht="18.75" x14ac:dyDescent="0.3">
      <c r="A1" s="383" t="s">
        <v>342</v>
      </c>
      <c r="B1" s="384"/>
      <c r="C1" s="384"/>
      <c r="D1" s="384"/>
      <c r="E1" s="385"/>
      <c r="J1" s="386" t="s">
        <v>99</v>
      </c>
      <c r="K1" s="375"/>
      <c r="L1" s="375"/>
      <c r="M1" s="375"/>
      <c r="N1" s="387"/>
    </row>
    <row r="2" spans="1:14" x14ac:dyDescent="0.25">
      <c r="A2" s="388" t="s">
        <v>2</v>
      </c>
      <c r="B2" s="389" t="s">
        <v>104</v>
      </c>
      <c r="C2" s="389" t="s">
        <v>152</v>
      </c>
      <c r="D2" s="389" t="s">
        <v>465</v>
      </c>
      <c r="E2" s="390" t="s">
        <v>153</v>
      </c>
      <c r="G2" s="99"/>
      <c r="J2" s="391" t="s">
        <v>2</v>
      </c>
      <c r="K2" s="391" t="s">
        <v>466</v>
      </c>
      <c r="L2" s="391" t="s">
        <v>467</v>
      </c>
      <c r="M2" s="391" t="s">
        <v>468</v>
      </c>
      <c r="N2" s="391" t="s">
        <v>469</v>
      </c>
    </row>
    <row r="3" spans="1:14" x14ac:dyDescent="0.25">
      <c r="A3" s="392" t="s">
        <v>470</v>
      </c>
      <c r="B3" s="393" t="s">
        <v>471</v>
      </c>
      <c r="C3" s="394">
        <v>614</v>
      </c>
      <c r="D3" s="523">
        <f>'Greens Quantities '!K18</f>
        <v>4</v>
      </c>
      <c r="E3" s="396">
        <f>C3*D3</f>
        <v>2456</v>
      </c>
      <c r="G3" s="99"/>
      <c r="J3" s="263" t="s">
        <v>88</v>
      </c>
      <c r="K3" t="s">
        <v>472</v>
      </c>
      <c r="L3" s="397">
        <f>C29</f>
        <v>493</v>
      </c>
      <c r="M3">
        <f>D29</f>
        <v>0</v>
      </c>
      <c r="N3" s="398">
        <f>L3*M3</f>
        <v>0</v>
      </c>
    </row>
    <row r="4" spans="1:14" x14ac:dyDescent="0.25">
      <c r="A4" s="394" t="s">
        <v>473</v>
      </c>
      <c r="B4" s="393" t="s">
        <v>471</v>
      </c>
      <c r="C4" s="399">
        <v>699</v>
      </c>
      <c r="D4" s="523">
        <f>'Greens Quantities '!K19</f>
        <v>5</v>
      </c>
      <c r="E4" s="396">
        <f t="shared" ref="E4:E15" si="0">C4*D4</f>
        <v>3495</v>
      </c>
      <c r="G4" s="99"/>
      <c r="J4" s="263" t="s">
        <v>21</v>
      </c>
      <c r="K4" t="s">
        <v>472</v>
      </c>
      <c r="L4" s="397">
        <f>C6</f>
        <v>1685</v>
      </c>
      <c r="M4" s="373">
        <f>D6</f>
        <v>13</v>
      </c>
      <c r="N4" s="398">
        <f t="shared" ref="N4:N42" si="1">L4*M4</f>
        <v>21905</v>
      </c>
    </row>
    <row r="5" spans="1:14" x14ac:dyDescent="0.25">
      <c r="A5" s="394" t="s">
        <v>77</v>
      </c>
      <c r="B5" s="393" t="s">
        <v>474</v>
      </c>
      <c r="C5" s="399">
        <v>1309</v>
      </c>
      <c r="D5" s="523">
        <f>'Greens Quantities '!K27+'Range Quantities'!K25+'Fwy &amp; Tee Quantities '!K25</f>
        <v>2</v>
      </c>
      <c r="E5" s="396">
        <f t="shared" si="0"/>
        <v>2618</v>
      </c>
      <c r="G5" s="99"/>
      <c r="J5" s="263" t="s">
        <v>24</v>
      </c>
      <c r="K5" t="s">
        <v>472</v>
      </c>
      <c r="L5" s="397">
        <f>C30</f>
        <v>190</v>
      </c>
      <c r="M5">
        <f>D30</f>
        <v>42</v>
      </c>
      <c r="N5" s="398">
        <f t="shared" si="1"/>
        <v>7980</v>
      </c>
    </row>
    <row r="6" spans="1:14" x14ac:dyDescent="0.25">
      <c r="A6" s="394" t="s">
        <v>21</v>
      </c>
      <c r="B6" s="393" t="s">
        <v>472</v>
      </c>
      <c r="C6" s="399">
        <v>1685</v>
      </c>
      <c r="D6" s="523">
        <f>'Greens Quantities '!K5+'Fwy &amp; Tee Quantities '!J4</f>
        <v>13</v>
      </c>
      <c r="E6" s="396">
        <f>D6*C6</f>
        <v>21905</v>
      </c>
      <c r="J6" s="263" t="s">
        <v>45</v>
      </c>
      <c r="K6" t="s">
        <v>472</v>
      </c>
      <c r="L6" s="397">
        <f>C31</f>
        <v>981.35</v>
      </c>
      <c r="M6">
        <f>D31</f>
        <v>0</v>
      </c>
      <c r="N6" s="398">
        <f t="shared" si="1"/>
        <v>0</v>
      </c>
    </row>
    <row r="7" spans="1:14" x14ac:dyDescent="0.25">
      <c r="A7" s="394" t="s">
        <v>111</v>
      </c>
      <c r="B7" s="393" t="s">
        <v>472</v>
      </c>
      <c r="C7" s="399">
        <v>210</v>
      </c>
      <c r="D7" s="523">
        <f>'Fwy &amp; Tee Quantities '!J8+'Greens Quantities '!K4+'Greens Quantities '!W4</f>
        <v>66</v>
      </c>
      <c r="E7" s="396">
        <f>D7*C7</f>
        <v>13860</v>
      </c>
      <c r="J7" s="263" t="s">
        <v>59</v>
      </c>
      <c r="K7" t="s">
        <v>475</v>
      </c>
      <c r="L7" s="397">
        <f>C41</f>
        <v>5112</v>
      </c>
      <c r="M7">
        <f>D41</f>
        <v>1</v>
      </c>
      <c r="N7" s="398">
        <f t="shared" si="1"/>
        <v>5112</v>
      </c>
    </row>
    <row r="8" spans="1:14" x14ac:dyDescent="0.25">
      <c r="A8" s="394" t="s">
        <v>74</v>
      </c>
      <c r="B8" s="400" t="s">
        <v>476</v>
      </c>
      <c r="C8" s="399">
        <v>2244</v>
      </c>
      <c r="D8" s="401">
        <f>'Fwy &amp; Tee Quantities '!J10+'Rough Quantities'!M9</f>
        <v>3</v>
      </c>
      <c r="E8" s="396">
        <f t="shared" si="0"/>
        <v>6732</v>
      </c>
      <c r="G8" s="99"/>
      <c r="J8" s="263" t="s">
        <v>111</v>
      </c>
      <c r="K8" t="s">
        <v>472</v>
      </c>
      <c r="L8" s="397">
        <f>C7</f>
        <v>210</v>
      </c>
      <c r="M8" s="373">
        <f>D7</f>
        <v>66</v>
      </c>
      <c r="N8" s="398">
        <f t="shared" si="1"/>
        <v>13860</v>
      </c>
    </row>
    <row r="9" spans="1:14" x14ac:dyDescent="0.25">
      <c r="A9" s="394" t="s">
        <v>117</v>
      </c>
      <c r="B9" s="393" t="s">
        <v>472</v>
      </c>
      <c r="C9" s="399">
        <v>480</v>
      </c>
      <c r="D9" s="395">
        <f>'Fwy &amp; Tee Quantities '!J14</f>
        <v>20</v>
      </c>
      <c r="E9" s="396">
        <f t="shared" si="0"/>
        <v>9600</v>
      </c>
      <c r="G9" s="99"/>
      <c r="J9" s="263" t="s">
        <v>16</v>
      </c>
      <c r="K9" t="s">
        <v>477</v>
      </c>
      <c r="L9" s="397">
        <f>C32</f>
        <v>667.66</v>
      </c>
      <c r="M9" s="373">
        <f>D32</f>
        <v>19</v>
      </c>
      <c r="N9" s="398">
        <f t="shared" si="1"/>
        <v>12685.539999999999</v>
      </c>
    </row>
    <row r="10" spans="1:14" x14ac:dyDescent="0.25">
      <c r="A10" s="394" t="s">
        <v>14</v>
      </c>
      <c r="B10" s="393" t="s">
        <v>478</v>
      </c>
      <c r="C10" s="399">
        <v>3020</v>
      </c>
      <c r="D10" s="395">
        <f>ROUNDUP('Greens Quantities '!K33+'Fwy &amp; Tee Quantities '!K35,0)</f>
        <v>3</v>
      </c>
      <c r="E10" s="396">
        <f t="shared" si="0"/>
        <v>9060</v>
      </c>
      <c r="G10" s="99"/>
      <c r="J10" s="263" t="s">
        <v>74</v>
      </c>
      <c r="K10" t="s">
        <v>479</v>
      </c>
      <c r="L10" s="397">
        <f>C8</f>
        <v>2244</v>
      </c>
      <c r="M10">
        <f>D8</f>
        <v>3</v>
      </c>
      <c r="N10" s="398">
        <f t="shared" si="1"/>
        <v>6732</v>
      </c>
    </row>
    <row r="11" spans="1:14" x14ac:dyDescent="0.25">
      <c r="A11" s="394" t="s">
        <v>52</v>
      </c>
      <c r="B11" s="393" t="s">
        <v>472</v>
      </c>
      <c r="C11" s="399">
        <v>1282.5</v>
      </c>
      <c r="D11" s="395">
        <f>'Fwy &amp; Tee Quantities '!K36+'Range Quantities'!K36</f>
        <v>0</v>
      </c>
      <c r="E11" s="396">
        <f t="shared" si="0"/>
        <v>0</v>
      </c>
      <c r="G11" s="99"/>
      <c r="J11" s="263" t="s">
        <v>82</v>
      </c>
      <c r="K11" t="s">
        <v>478</v>
      </c>
      <c r="L11" s="397">
        <f>C14</f>
        <v>6030</v>
      </c>
      <c r="M11">
        <f>D14</f>
        <v>1</v>
      </c>
      <c r="N11" s="398">
        <f t="shared" si="1"/>
        <v>6030</v>
      </c>
    </row>
    <row r="12" spans="1:14" x14ac:dyDescent="0.25">
      <c r="A12" s="402" t="s">
        <v>259</v>
      </c>
      <c r="B12" s="400" t="s">
        <v>480</v>
      </c>
      <c r="C12" s="399">
        <v>1931</v>
      </c>
      <c r="D12" s="524">
        <f>'Greens Quantities '!K30</f>
        <v>4</v>
      </c>
      <c r="E12" s="396">
        <f t="shared" si="0"/>
        <v>7724</v>
      </c>
      <c r="G12" s="253"/>
      <c r="J12" s="263" t="s">
        <v>114</v>
      </c>
      <c r="K12" t="s">
        <v>472</v>
      </c>
      <c r="L12" s="397">
        <f>C52</f>
        <v>135</v>
      </c>
      <c r="M12" s="373">
        <f>D52</f>
        <v>23</v>
      </c>
      <c r="N12" s="398">
        <f t="shared" si="1"/>
        <v>3105</v>
      </c>
    </row>
    <row r="13" spans="1:14" x14ac:dyDescent="0.25">
      <c r="A13" s="394" t="s">
        <v>124</v>
      </c>
      <c r="B13" s="393" t="s">
        <v>480</v>
      </c>
      <c r="C13" s="399">
        <v>879</v>
      </c>
      <c r="D13" s="523">
        <f>'Fwy &amp; Tee Quantities '!K22+'Greens Quantities '!K24</f>
        <v>0</v>
      </c>
      <c r="E13" s="396">
        <f t="shared" si="0"/>
        <v>0</v>
      </c>
      <c r="G13" s="253"/>
      <c r="J13" s="263" t="s">
        <v>86</v>
      </c>
      <c r="K13" t="s">
        <v>481</v>
      </c>
      <c r="L13" s="397">
        <f>C70</f>
        <v>273.83999999999997</v>
      </c>
      <c r="M13" s="373">
        <f>D70</f>
        <v>0</v>
      </c>
      <c r="N13" s="398">
        <f t="shared" si="1"/>
        <v>0</v>
      </c>
    </row>
    <row r="14" spans="1:14" x14ac:dyDescent="0.25">
      <c r="A14" s="394" t="s">
        <v>82</v>
      </c>
      <c r="B14" s="393" t="s">
        <v>478</v>
      </c>
      <c r="C14" s="399">
        <v>6030</v>
      </c>
      <c r="D14" s="395">
        <f>'Fwy &amp; Tee Quantities '!J18</f>
        <v>1</v>
      </c>
      <c r="E14" s="396">
        <f t="shared" si="0"/>
        <v>6030</v>
      </c>
      <c r="G14" s="253"/>
      <c r="J14" s="263" t="s">
        <v>116</v>
      </c>
      <c r="K14" t="s">
        <v>482</v>
      </c>
      <c r="L14" s="397">
        <f>C42</f>
        <v>630</v>
      </c>
      <c r="M14" s="373">
        <f>D42</f>
        <v>0</v>
      </c>
      <c r="N14" s="398">
        <f t="shared" si="1"/>
        <v>0</v>
      </c>
    </row>
    <row r="15" spans="1:14" x14ac:dyDescent="0.25">
      <c r="A15" s="402" t="s">
        <v>118</v>
      </c>
      <c r="B15" s="400" t="s">
        <v>483</v>
      </c>
      <c r="C15" s="403">
        <v>297</v>
      </c>
      <c r="D15" s="401">
        <f>'Fwy &amp; Tee Quantities '!J15+'Range Quantities'!J15</f>
        <v>60</v>
      </c>
      <c r="E15" s="404">
        <f t="shared" si="0"/>
        <v>17820</v>
      </c>
      <c r="J15" s="263" t="s">
        <v>117</v>
      </c>
      <c r="K15" t="s">
        <v>472</v>
      </c>
      <c r="L15" s="397">
        <f>C9</f>
        <v>480</v>
      </c>
      <c r="M15">
        <f>D9</f>
        <v>20</v>
      </c>
      <c r="N15" s="398">
        <f t="shared" si="1"/>
        <v>9600</v>
      </c>
    </row>
    <row r="16" spans="1:14" x14ac:dyDescent="0.25">
      <c r="A16" s="394" t="s">
        <v>120</v>
      </c>
      <c r="B16" s="393" t="s">
        <v>484</v>
      </c>
      <c r="C16" s="399">
        <v>1738</v>
      </c>
      <c r="D16" s="395">
        <f>'Fwy &amp; Tee Quantities '!J16+'Range Quantities'!J16</f>
        <v>0</v>
      </c>
      <c r="E16" s="396">
        <f>C16*D16</f>
        <v>0</v>
      </c>
      <c r="J16" s="263" t="s">
        <v>118</v>
      </c>
      <c r="K16" t="s">
        <v>485</v>
      </c>
      <c r="L16" s="397">
        <f t="shared" ref="L16:M18" si="2">C15</f>
        <v>297</v>
      </c>
      <c r="M16">
        <f t="shared" si="2"/>
        <v>60</v>
      </c>
      <c r="N16" s="398">
        <f t="shared" si="1"/>
        <v>17820</v>
      </c>
    </row>
    <row r="17" spans="1:14" x14ac:dyDescent="0.25">
      <c r="A17" s="402" t="s">
        <v>362</v>
      </c>
      <c r="B17" s="400" t="s">
        <v>471</v>
      </c>
      <c r="C17" s="403">
        <v>852</v>
      </c>
      <c r="D17" s="401">
        <f>'Rough Quantities'!M3</f>
        <v>4</v>
      </c>
      <c r="E17" s="404">
        <f>C17*D17</f>
        <v>3408</v>
      </c>
      <c r="J17" s="263" t="s">
        <v>170</v>
      </c>
      <c r="K17" t="s">
        <v>486</v>
      </c>
      <c r="L17" s="397">
        <f t="shared" si="2"/>
        <v>1738</v>
      </c>
      <c r="M17">
        <f t="shared" si="2"/>
        <v>0</v>
      </c>
      <c r="N17" s="398">
        <f t="shared" si="1"/>
        <v>0</v>
      </c>
    </row>
    <row r="18" spans="1:14" x14ac:dyDescent="0.25">
      <c r="A18" s="402" t="s">
        <v>487</v>
      </c>
      <c r="B18" s="400" t="s">
        <v>478</v>
      </c>
      <c r="C18" s="403">
        <v>2500</v>
      </c>
      <c r="D18" s="401">
        <v>0</v>
      </c>
      <c r="E18" s="404">
        <f>SUM(D18*C18)</f>
        <v>0</v>
      </c>
      <c r="J18" s="263" t="s">
        <v>488</v>
      </c>
      <c r="K18" t="s">
        <v>471</v>
      </c>
      <c r="L18" s="397">
        <f t="shared" si="2"/>
        <v>852</v>
      </c>
      <c r="M18">
        <f t="shared" si="2"/>
        <v>4</v>
      </c>
      <c r="N18" s="398">
        <f t="shared" si="1"/>
        <v>3408</v>
      </c>
    </row>
    <row r="19" spans="1:14" x14ac:dyDescent="0.25">
      <c r="A19" s="394" t="s">
        <v>395</v>
      </c>
      <c r="B19" s="393" t="s">
        <v>489</v>
      </c>
      <c r="C19" s="399">
        <v>123.85</v>
      </c>
      <c r="D19" s="395">
        <f>'Rough Quantities'!M35+'Rough Quantities'!M21</f>
        <v>21</v>
      </c>
      <c r="E19" s="404">
        <f t="shared" ref="E19:E20" si="3">SUM(D19*C19)</f>
        <v>2600.85</v>
      </c>
      <c r="J19" s="363" t="s">
        <v>280</v>
      </c>
      <c r="K19" t="s">
        <v>472</v>
      </c>
      <c r="L19" s="397">
        <f>C28</f>
        <v>1267</v>
      </c>
      <c r="M19" s="373">
        <f>D28</f>
        <v>11</v>
      </c>
      <c r="N19" s="398">
        <f t="shared" si="1"/>
        <v>13937</v>
      </c>
    </row>
    <row r="20" spans="1:14" x14ac:dyDescent="0.25">
      <c r="A20" s="394" t="s">
        <v>379</v>
      </c>
      <c r="B20" s="393" t="s">
        <v>490</v>
      </c>
      <c r="C20" s="399">
        <v>78</v>
      </c>
      <c r="D20" s="1278">
        <f>'Rough Quantities'!M36</f>
        <v>4</v>
      </c>
      <c r="E20" s="1279">
        <f t="shared" si="3"/>
        <v>312</v>
      </c>
      <c r="J20" s="363" t="s">
        <v>240</v>
      </c>
      <c r="K20" t="s">
        <v>472</v>
      </c>
      <c r="L20" s="397">
        <f>C27</f>
        <v>635</v>
      </c>
      <c r="M20" s="373">
        <f>D27</f>
        <v>8</v>
      </c>
      <c r="N20" s="398">
        <f t="shared" si="1"/>
        <v>5080</v>
      </c>
    </row>
    <row r="21" spans="1:14" ht="15.75" x14ac:dyDescent="0.25">
      <c r="A21" s="1245"/>
      <c r="B21" s="1246"/>
      <c r="C21" s="1247"/>
      <c r="D21" s="1238" t="s">
        <v>491</v>
      </c>
      <c r="E21" s="1277">
        <f>SUM(E3:E20)</f>
        <v>107620.85</v>
      </c>
      <c r="J21" s="363" t="s">
        <v>233</v>
      </c>
      <c r="K21" t="s">
        <v>492</v>
      </c>
      <c r="L21" s="397">
        <f>C26</f>
        <v>946.56</v>
      </c>
      <c r="M21" s="373">
        <f>D26</f>
        <v>3</v>
      </c>
      <c r="N21" s="398">
        <f t="shared" si="1"/>
        <v>2839.68</v>
      </c>
    </row>
    <row r="22" spans="1:14" x14ac:dyDescent="0.25">
      <c r="A22" s="253"/>
      <c r="B22" s="253"/>
      <c r="C22" s="253"/>
      <c r="D22" s="253"/>
      <c r="E22" s="253"/>
      <c r="J22" s="363" t="s">
        <v>304</v>
      </c>
      <c r="K22" t="s">
        <v>493</v>
      </c>
      <c r="L22" s="397">
        <f>C25</f>
        <v>384.56</v>
      </c>
      <c r="M22" s="373">
        <f>D25</f>
        <v>61</v>
      </c>
      <c r="N22" s="398">
        <f t="shared" si="1"/>
        <v>23458.16</v>
      </c>
    </row>
    <row r="23" spans="1:14" ht="18.75" x14ac:dyDescent="0.3">
      <c r="A23" s="1074" t="s">
        <v>341</v>
      </c>
      <c r="B23" s="1075"/>
      <c r="C23" s="1075"/>
      <c r="D23" s="1075"/>
      <c r="E23" s="1076"/>
      <c r="J23" s="411" t="s">
        <v>243</v>
      </c>
      <c r="K23" t="s">
        <v>494</v>
      </c>
      <c r="L23" s="397">
        <f>C77</f>
        <v>450</v>
      </c>
      <c r="M23" s="373">
        <f>D77</f>
        <v>18</v>
      </c>
      <c r="N23" s="398">
        <f t="shared" si="1"/>
        <v>8100</v>
      </c>
    </row>
    <row r="24" spans="1:14" x14ac:dyDescent="0.25">
      <c r="A24" s="405" t="s">
        <v>2</v>
      </c>
      <c r="B24" s="405" t="s">
        <v>104</v>
      </c>
      <c r="C24" s="405" t="s">
        <v>152</v>
      </c>
      <c r="D24" s="405" t="s">
        <v>465</v>
      </c>
      <c r="E24" s="406" t="s">
        <v>153</v>
      </c>
      <c r="J24" s="411" t="s">
        <v>266</v>
      </c>
      <c r="K24" t="s">
        <v>495</v>
      </c>
      <c r="L24" s="397">
        <f>C40</f>
        <v>577.20000000000005</v>
      </c>
      <c r="M24" s="373">
        <f>D40</f>
        <v>9</v>
      </c>
      <c r="N24" s="398">
        <f t="shared" si="1"/>
        <v>5194.8</v>
      </c>
    </row>
    <row r="25" spans="1:14" x14ac:dyDescent="0.25">
      <c r="A25" s="407" t="s">
        <v>496</v>
      </c>
      <c r="B25" s="408" t="s">
        <v>493</v>
      </c>
      <c r="C25" s="408">
        <v>384.56</v>
      </c>
      <c r="D25" s="525">
        <f>'Greens Quantities '!K8</f>
        <v>61</v>
      </c>
      <c r="E25" s="410">
        <f>D25*C25</f>
        <v>23458.16</v>
      </c>
      <c r="J25" s="411" t="s">
        <v>90</v>
      </c>
      <c r="K25" t="s">
        <v>497</v>
      </c>
      <c r="L25" s="397">
        <f>C45</f>
        <v>1801.2</v>
      </c>
      <c r="M25" s="373">
        <f>D45</f>
        <v>1</v>
      </c>
      <c r="N25" s="398">
        <f t="shared" si="1"/>
        <v>1801.2</v>
      </c>
    </row>
    <row r="26" spans="1:14" x14ac:dyDescent="0.25">
      <c r="A26" s="407" t="s">
        <v>233</v>
      </c>
      <c r="B26" s="408" t="s">
        <v>492</v>
      </c>
      <c r="C26" s="408">
        <v>946.56</v>
      </c>
      <c r="D26" s="525">
        <f>'Greens Quantities '!K7</f>
        <v>3</v>
      </c>
      <c r="E26" s="410">
        <f t="shared" ref="E26:E32" si="4">C26*D26</f>
        <v>2839.68</v>
      </c>
      <c r="J26" s="412" t="s">
        <v>84</v>
      </c>
      <c r="K26" t="s">
        <v>475</v>
      </c>
      <c r="L26" s="397">
        <f>C69</f>
        <v>295</v>
      </c>
      <c r="M26" s="373">
        <f>D69</f>
        <v>19</v>
      </c>
      <c r="N26" s="398">
        <f t="shared" si="1"/>
        <v>5605</v>
      </c>
    </row>
    <row r="27" spans="1:14" x14ac:dyDescent="0.25">
      <c r="A27" s="407" t="s">
        <v>240</v>
      </c>
      <c r="B27" s="408" t="s">
        <v>472</v>
      </c>
      <c r="C27" s="408">
        <v>635</v>
      </c>
      <c r="D27" s="525">
        <f>'Greens Quantities '!K6</f>
        <v>8</v>
      </c>
      <c r="E27" s="410">
        <f t="shared" si="4"/>
        <v>5080</v>
      </c>
      <c r="J27" s="411" t="s">
        <v>273</v>
      </c>
      <c r="K27" t="s">
        <v>498</v>
      </c>
      <c r="L27" s="397">
        <f>C84</f>
        <v>474.81</v>
      </c>
      <c r="M27" s="373">
        <f>D84</f>
        <v>20</v>
      </c>
      <c r="N27" s="398">
        <f t="shared" si="1"/>
        <v>9496.2000000000007</v>
      </c>
    </row>
    <row r="28" spans="1:14" x14ac:dyDescent="0.25">
      <c r="A28" s="407" t="s">
        <v>280</v>
      </c>
      <c r="B28" s="408" t="s">
        <v>472</v>
      </c>
      <c r="C28" s="408">
        <v>1267</v>
      </c>
      <c r="D28" s="525">
        <f>'Greens Quantities '!K3</f>
        <v>11</v>
      </c>
      <c r="E28" s="410">
        <f t="shared" si="4"/>
        <v>13937</v>
      </c>
      <c r="J28" s="413" t="s">
        <v>499</v>
      </c>
      <c r="K28" t="s">
        <v>472</v>
      </c>
      <c r="L28" s="397">
        <f>C43</f>
        <v>2357.5</v>
      </c>
      <c r="M28" s="373">
        <f>D43</f>
        <v>0</v>
      </c>
      <c r="N28" s="398">
        <f t="shared" si="1"/>
        <v>0</v>
      </c>
    </row>
    <row r="29" spans="1:14" x14ac:dyDescent="0.25">
      <c r="A29" s="407" t="s">
        <v>88</v>
      </c>
      <c r="B29" s="408" t="s">
        <v>472</v>
      </c>
      <c r="C29" s="408">
        <v>493</v>
      </c>
      <c r="D29" s="409">
        <f>'Fwy &amp; Tee Quantities '!J3</f>
        <v>0</v>
      </c>
      <c r="E29" s="410">
        <f t="shared" si="4"/>
        <v>0</v>
      </c>
      <c r="J29" s="363" t="s">
        <v>286</v>
      </c>
      <c r="K29" t="s">
        <v>471</v>
      </c>
      <c r="L29" s="397">
        <f>C3</f>
        <v>614</v>
      </c>
      <c r="M29">
        <f>D3</f>
        <v>4</v>
      </c>
      <c r="N29" s="398">
        <f t="shared" si="1"/>
        <v>2456</v>
      </c>
    </row>
    <row r="30" spans="1:14" x14ac:dyDescent="0.25">
      <c r="A30" s="407" t="s">
        <v>24</v>
      </c>
      <c r="B30" s="408" t="s">
        <v>472</v>
      </c>
      <c r="C30" s="408">
        <v>190</v>
      </c>
      <c r="D30" s="409">
        <f>'Fwy &amp; Tee Quantities '!J5</f>
        <v>42</v>
      </c>
      <c r="E30" s="410">
        <f t="shared" si="4"/>
        <v>7980</v>
      </c>
      <c r="J30" s="363" t="s">
        <v>294</v>
      </c>
      <c r="K30" t="s">
        <v>471</v>
      </c>
      <c r="L30" s="397">
        <f>C4</f>
        <v>699</v>
      </c>
      <c r="M30" s="373">
        <f>D4</f>
        <v>5</v>
      </c>
      <c r="N30" s="398">
        <f t="shared" si="1"/>
        <v>3495</v>
      </c>
    </row>
    <row r="31" spans="1:14" x14ac:dyDescent="0.25">
      <c r="A31" s="407" t="s">
        <v>45</v>
      </c>
      <c r="B31" s="408" t="s">
        <v>472</v>
      </c>
      <c r="C31" s="408">
        <v>981.35</v>
      </c>
      <c r="D31" s="409">
        <f>'Fwy &amp; Tee Quantities '!J6</f>
        <v>0</v>
      </c>
      <c r="E31" s="410">
        <f t="shared" si="4"/>
        <v>0</v>
      </c>
      <c r="J31" s="363" t="s">
        <v>500</v>
      </c>
      <c r="K31" t="s">
        <v>472</v>
      </c>
      <c r="L31" s="397">
        <f>C44</f>
        <v>340</v>
      </c>
      <c r="M31">
        <f>D44</f>
        <v>0</v>
      </c>
      <c r="N31" s="398">
        <f t="shared" si="1"/>
        <v>0</v>
      </c>
    </row>
    <row r="32" spans="1:14" x14ac:dyDescent="0.25">
      <c r="A32" s="407" t="s">
        <v>16</v>
      </c>
      <c r="B32" s="408" t="s">
        <v>477</v>
      </c>
      <c r="C32" s="408">
        <v>667.66</v>
      </c>
      <c r="D32" s="525">
        <f>'Fwy &amp; Tee Quantities '!J9+'Greens Quantities '!K12+'Range Quantities'!J9</f>
        <v>19</v>
      </c>
      <c r="E32" s="410">
        <f t="shared" si="4"/>
        <v>12685.539999999999</v>
      </c>
      <c r="J32" s="363" t="s">
        <v>283</v>
      </c>
      <c r="K32" t="s">
        <v>472</v>
      </c>
      <c r="L32" s="397">
        <f>C78</f>
        <v>922.5</v>
      </c>
      <c r="M32" s="373">
        <f>D78</f>
        <v>0</v>
      </c>
      <c r="N32" s="398">
        <f t="shared" si="1"/>
        <v>0</v>
      </c>
    </row>
    <row r="33" spans="1:17" x14ac:dyDescent="0.25">
      <c r="A33" s="538" t="s">
        <v>64</v>
      </c>
      <c r="B33" s="539" t="s">
        <v>471</v>
      </c>
      <c r="C33" s="539">
        <v>528</v>
      </c>
      <c r="D33" s="540">
        <f>'Fwy &amp; Tee Quantities '!K26+'Greens Quantities '!K28+'Range Quantities'!K26</f>
        <v>20</v>
      </c>
      <c r="E33" s="541">
        <f>C33*D33</f>
        <v>10560</v>
      </c>
      <c r="J33" s="363" t="s">
        <v>206</v>
      </c>
      <c r="K33" t="s">
        <v>501</v>
      </c>
      <c r="L33" s="397">
        <f t="shared" ref="L33:M35" si="5">C57</f>
        <v>537</v>
      </c>
      <c r="M33" s="373">
        <f t="shared" si="5"/>
        <v>1</v>
      </c>
      <c r="N33" s="398">
        <f t="shared" si="1"/>
        <v>537</v>
      </c>
    </row>
    <row r="34" spans="1:17" x14ac:dyDescent="0.25">
      <c r="A34" s="538" t="s">
        <v>247</v>
      </c>
      <c r="B34" s="539" t="s">
        <v>502</v>
      </c>
      <c r="C34" s="539">
        <v>1865.42</v>
      </c>
      <c r="D34" s="971">
        <f>'Greens Quantities '!K29</f>
        <v>4</v>
      </c>
      <c r="E34" s="541">
        <f>C34*D34</f>
        <v>7461.68</v>
      </c>
      <c r="J34" s="363" t="s">
        <v>207</v>
      </c>
      <c r="K34" t="s">
        <v>471</v>
      </c>
      <c r="L34" s="397">
        <f t="shared" si="5"/>
        <v>410</v>
      </c>
      <c r="M34" s="373">
        <f t="shared" si="5"/>
        <v>1</v>
      </c>
      <c r="N34" s="398">
        <f t="shared" si="1"/>
        <v>410</v>
      </c>
    </row>
    <row r="35" spans="1:17" x14ac:dyDescent="0.25">
      <c r="A35" s="407" t="s">
        <v>11</v>
      </c>
      <c r="B35" s="408" t="s">
        <v>472</v>
      </c>
      <c r="C35" s="408">
        <v>129</v>
      </c>
      <c r="D35" s="540">
        <f>'Range Quantities'!K37+'Fwy &amp; Tee Quantities '!K37</f>
        <v>61</v>
      </c>
      <c r="E35" s="541">
        <f>C35*D35</f>
        <v>7869</v>
      </c>
      <c r="J35" s="363" t="s">
        <v>197</v>
      </c>
      <c r="K35" t="s">
        <v>503</v>
      </c>
      <c r="L35" s="397">
        <f t="shared" si="5"/>
        <v>245</v>
      </c>
      <c r="M35" s="373">
        <f t="shared" si="5"/>
        <v>31</v>
      </c>
      <c r="N35" s="398">
        <f t="shared" si="1"/>
        <v>7595</v>
      </c>
    </row>
    <row r="36" spans="1:17" ht="15.75" x14ac:dyDescent="0.25">
      <c r="A36" s="418"/>
      <c r="B36" s="419"/>
      <c r="C36" s="419"/>
      <c r="D36" s="1242" t="s">
        <v>491</v>
      </c>
      <c r="E36" s="1243">
        <f>SUM(E25:E35)</f>
        <v>91871.06</v>
      </c>
      <c r="J36" s="363" t="s">
        <v>487</v>
      </c>
      <c r="K36" t="s">
        <v>471</v>
      </c>
      <c r="L36" s="397">
        <f>C18</f>
        <v>2500</v>
      </c>
      <c r="M36" s="373">
        <f>D18</f>
        <v>0</v>
      </c>
      <c r="N36" s="398">
        <f t="shared" si="1"/>
        <v>0</v>
      </c>
    </row>
    <row r="37" spans="1:17" x14ac:dyDescent="0.25">
      <c r="J37" s="363" t="s">
        <v>199</v>
      </c>
      <c r="K37" t="s">
        <v>472</v>
      </c>
      <c r="L37" s="397">
        <f t="shared" ref="L37:M39" si="6">C54</f>
        <v>74.88</v>
      </c>
      <c r="M37" s="373">
        <f t="shared" si="6"/>
        <v>67</v>
      </c>
      <c r="N37" s="398">
        <f t="shared" si="1"/>
        <v>5016.96</v>
      </c>
    </row>
    <row r="38" spans="1:17" ht="18.75" x14ac:dyDescent="0.3">
      <c r="A38" s="421" t="s">
        <v>166</v>
      </c>
      <c r="B38" s="422"/>
      <c r="C38" s="422"/>
      <c r="D38" s="422"/>
      <c r="E38" s="423"/>
      <c r="J38" s="363" t="s">
        <v>405</v>
      </c>
      <c r="K38" t="s">
        <v>471</v>
      </c>
      <c r="L38" s="397">
        <f t="shared" si="6"/>
        <v>140</v>
      </c>
      <c r="M38" s="373">
        <f t="shared" si="6"/>
        <v>37</v>
      </c>
      <c r="N38" s="398">
        <f t="shared" si="1"/>
        <v>5180</v>
      </c>
    </row>
    <row r="39" spans="1:17" x14ac:dyDescent="0.25">
      <c r="A39" s="426" t="s">
        <v>2</v>
      </c>
      <c r="B39" s="427" t="s">
        <v>104</v>
      </c>
      <c r="C39" s="427" t="s">
        <v>152</v>
      </c>
      <c r="D39" s="428" t="s">
        <v>465</v>
      </c>
      <c r="E39" s="429" t="s">
        <v>153</v>
      </c>
      <c r="J39" s="363" t="s">
        <v>198</v>
      </c>
      <c r="K39" t="s">
        <v>472</v>
      </c>
      <c r="L39" s="397">
        <f t="shared" si="6"/>
        <v>187.5</v>
      </c>
      <c r="M39" s="373">
        <f t="shared" si="6"/>
        <v>89</v>
      </c>
      <c r="N39" s="398">
        <f t="shared" si="1"/>
        <v>16687.5</v>
      </c>
    </row>
    <row r="40" spans="1:17" x14ac:dyDescent="0.25">
      <c r="A40" s="430" t="s">
        <v>504</v>
      </c>
      <c r="B40" s="431" t="s">
        <v>495</v>
      </c>
      <c r="C40" s="432">
        <v>577.20000000000005</v>
      </c>
      <c r="D40" s="526">
        <f>'Greens Quantities '!K10</f>
        <v>9</v>
      </c>
      <c r="E40" s="1254">
        <f>C40*D40</f>
        <v>5194.8</v>
      </c>
      <c r="J40" s="363" t="s">
        <v>220</v>
      </c>
      <c r="K40" t="s">
        <v>471</v>
      </c>
      <c r="L40" s="397">
        <f t="shared" ref="L40:M42" si="7">C60</f>
        <v>48</v>
      </c>
      <c r="M40" s="373">
        <f t="shared" si="7"/>
        <v>1</v>
      </c>
      <c r="N40" s="398">
        <f t="shared" si="1"/>
        <v>48</v>
      </c>
    </row>
    <row r="41" spans="1:17" x14ac:dyDescent="0.25">
      <c r="A41" s="430" t="s">
        <v>505</v>
      </c>
      <c r="B41" s="431" t="s">
        <v>506</v>
      </c>
      <c r="C41" s="432">
        <v>5112</v>
      </c>
      <c r="D41" s="433">
        <f>'Fwy &amp; Tee Quantities '!J7</f>
        <v>1</v>
      </c>
      <c r="E41" s="1254">
        <f t="shared" ref="E41:E42" si="8">C41*D41</f>
        <v>5112</v>
      </c>
      <c r="J41" s="363" t="s">
        <v>211</v>
      </c>
      <c r="K41" t="s">
        <v>472</v>
      </c>
      <c r="L41" s="397">
        <f t="shared" si="7"/>
        <v>325</v>
      </c>
      <c r="M41" s="373">
        <f t="shared" si="7"/>
        <v>5</v>
      </c>
      <c r="N41" s="398">
        <f t="shared" si="1"/>
        <v>1625</v>
      </c>
    </row>
    <row r="42" spans="1:17" x14ac:dyDescent="0.25">
      <c r="A42" s="434" t="s">
        <v>507</v>
      </c>
      <c r="B42" s="435" t="s">
        <v>508</v>
      </c>
      <c r="C42" s="436">
        <v>630</v>
      </c>
      <c r="D42" s="527">
        <f>'Fwy &amp; Tee Quantities '!J13+'Greens Quantities '!K13</f>
        <v>0</v>
      </c>
      <c r="E42" s="1255">
        <f t="shared" si="8"/>
        <v>0</v>
      </c>
      <c r="J42" s="369" t="s">
        <v>370</v>
      </c>
      <c r="K42" s="258" t="s">
        <v>472</v>
      </c>
      <c r="L42" s="414">
        <f t="shared" si="7"/>
        <v>180</v>
      </c>
      <c r="M42" s="533">
        <f t="shared" si="7"/>
        <v>44</v>
      </c>
      <c r="N42" s="415">
        <f t="shared" si="1"/>
        <v>7920</v>
      </c>
    </row>
    <row r="43" spans="1:17" x14ac:dyDescent="0.25">
      <c r="A43" s="431" t="s">
        <v>499</v>
      </c>
      <c r="B43" s="431" t="s">
        <v>472</v>
      </c>
      <c r="C43" s="438">
        <v>2357.5</v>
      </c>
      <c r="D43" s="526">
        <v>0</v>
      </c>
      <c r="E43" s="439">
        <f>C43*D43</f>
        <v>0</v>
      </c>
      <c r="J43" s="416"/>
      <c r="M43" s="272" t="s">
        <v>354</v>
      </c>
      <c r="N43" s="417">
        <f>SUM(N3:N42)</f>
        <v>234720.04</v>
      </c>
    </row>
    <row r="44" spans="1:17" ht="18.75" x14ac:dyDescent="0.3">
      <c r="A44" s="435" t="s">
        <v>509</v>
      </c>
      <c r="B44" s="435" t="s">
        <v>472</v>
      </c>
      <c r="C44" s="436">
        <v>340</v>
      </c>
      <c r="D44" s="437">
        <v>0</v>
      </c>
      <c r="E44" s="1256">
        <f>C44*D44</f>
        <v>0</v>
      </c>
      <c r="J44" s="420" t="s">
        <v>190</v>
      </c>
      <c r="K44" s="375"/>
      <c r="L44" s="375"/>
      <c r="M44" s="375"/>
      <c r="N44" s="387"/>
    </row>
    <row r="45" spans="1:17" x14ac:dyDescent="0.25">
      <c r="A45" s="435" t="s">
        <v>90</v>
      </c>
      <c r="B45" s="435" t="s">
        <v>497</v>
      </c>
      <c r="C45" s="436">
        <v>1801.2</v>
      </c>
      <c r="D45" s="527">
        <f>'Fwy &amp; Tee Quantities '!J19+'Greens Quantities '!K17+'Range Quantities'!J19</f>
        <v>1</v>
      </c>
      <c r="E45" s="1256">
        <f>C45*D45</f>
        <v>1801.2</v>
      </c>
      <c r="J45" s="391" t="s">
        <v>2</v>
      </c>
      <c r="K45" s="391" t="s">
        <v>466</v>
      </c>
      <c r="L45" s="391" t="s">
        <v>467</v>
      </c>
      <c r="M45" s="391" t="s">
        <v>468</v>
      </c>
      <c r="N45" s="391" t="s">
        <v>469</v>
      </c>
    </row>
    <row r="46" spans="1:17" x14ac:dyDescent="0.25">
      <c r="A46" s="435" t="s">
        <v>385</v>
      </c>
      <c r="B46" s="435" t="s">
        <v>480</v>
      </c>
      <c r="C46" s="436">
        <v>65</v>
      </c>
      <c r="D46" s="437">
        <f>'Rough Quantities'!M17</f>
        <v>7</v>
      </c>
      <c r="E46" s="1256">
        <f>C46*D46</f>
        <v>455</v>
      </c>
      <c r="J46" s="263" t="s">
        <v>124</v>
      </c>
      <c r="K46" t="s">
        <v>510</v>
      </c>
      <c r="L46" s="424">
        <f>C13</f>
        <v>879</v>
      </c>
      <c r="M46" s="373">
        <f>D13</f>
        <v>0</v>
      </c>
      <c r="N46" s="425">
        <f>L46*M46</f>
        <v>0</v>
      </c>
      <c r="O46" s="1394"/>
    </row>
    <row r="47" spans="1:17" x14ac:dyDescent="0.25">
      <c r="A47" s="431" t="s">
        <v>396</v>
      </c>
      <c r="B47" s="431" t="s">
        <v>472</v>
      </c>
      <c r="C47" s="432">
        <v>895</v>
      </c>
      <c r="D47" s="1280">
        <f>'Rough Quantities'!M37</f>
        <v>3</v>
      </c>
      <c r="E47" s="1281">
        <f>C47*D47</f>
        <v>2685</v>
      </c>
      <c r="J47" s="263" t="s">
        <v>69</v>
      </c>
      <c r="K47" t="s">
        <v>511</v>
      </c>
      <c r="L47" s="424">
        <f>C90</f>
        <v>879</v>
      </c>
      <c r="M47" s="373">
        <f>D90</f>
        <v>8</v>
      </c>
      <c r="N47" s="425">
        <f t="shared" ref="N47:N51" si="9">L47*M47</f>
        <v>7032</v>
      </c>
      <c r="O47" s="1394"/>
    </row>
    <row r="48" spans="1:17" ht="15.75" x14ac:dyDescent="0.25">
      <c r="A48" s="443"/>
      <c r="B48" s="444"/>
      <c r="C48" s="444"/>
      <c r="D48" s="1276" t="s">
        <v>491</v>
      </c>
      <c r="E48" s="1277">
        <f>SUM(E40:E47)</f>
        <v>15248</v>
      </c>
      <c r="J48" s="263" t="s">
        <v>77</v>
      </c>
      <c r="K48" t="s">
        <v>474</v>
      </c>
      <c r="L48" s="424">
        <f>C5</f>
        <v>1309</v>
      </c>
      <c r="M48" s="373">
        <f>D5</f>
        <v>2</v>
      </c>
      <c r="N48" s="425">
        <f t="shared" si="9"/>
        <v>2618</v>
      </c>
      <c r="O48" s="1394"/>
      <c r="Q48" s="424">
        <f>SUM(N47+N48+O49+N51+N52+N53)</f>
        <v>44069.68</v>
      </c>
    </row>
    <row r="49" spans="1:15" x14ac:dyDescent="0.25">
      <c r="J49" s="263" t="s">
        <v>64</v>
      </c>
      <c r="K49" t="s">
        <v>471</v>
      </c>
      <c r="L49" s="424">
        <f>C33</f>
        <v>528</v>
      </c>
      <c r="M49" s="373">
        <f>D33</f>
        <v>20</v>
      </c>
      <c r="N49" s="425">
        <f t="shared" si="9"/>
        <v>10560</v>
      </c>
      <c r="O49">
        <v>9504</v>
      </c>
    </row>
    <row r="50" spans="1:15" ht="18.75" x14ac:dyDescent="0.3">
      <c r="A50" s="445" t="s">
        <v>346</v>
      </c>
      <c r="B50" s="446"/>
      <c r="C50" s="446"/>
      <c r="D50" s="446"/>
      <c r="E50" s="447"/>
      <c r="J50" s="263" t="s">
        <v>126</v>
      </c>
      <c r="K50" t="s">
        <v>472</v>
      </c>
      <c r="L50" s="442">
        <f>C91</f>
        <v>0</v>
      </c>
      <c r="M50" s="373">
        <f>D91</f>
        <v>0</v>
      </c>
      <c r="N50" s="425">
        <f t="shared" si="9"/>
        <v>0</v>
      </c>
    </row>
    <row r="51" spans="1:15" x14ac:dyDescent="0.25">
      <c r="A51" s="448" t="s">
        <v>2</v>
      </c>
      <c r="B51" s="449" t="s">
        <v>104</v>
      </c>
      <c r="C51" s="449" t="s">
        <v>152</v>
      </c>
      <c r="D51" s="449" t="s">
        <v>465</v>
      </c>
      <c r="E51" s="450" t="s">
        <v>153</v>
      </c>
      <c r="J51" s="363" t="s">
        <v>259</v>
      </c>
      <c r="K51" t="s">
        <v>480</v>
      </c>
      <c r="L51" s="424">
        <f>C12</f>
        <v>1931</v>
      </c>
      <c r="M51" s="373">
        <f>D12</f>
        <v>4</v>
      </c>
      <c r="N51" s="425">
        <f t="shared" si="9"/>
        <v>7724</v>
      </c>
      <c r="O51" s="1394"/>
    </row>
    <row r="52" spans="1:15" x14ac:dyDescent="0.25">
      <c r="A52" s="451" t="s">
        <v>114</v>
      </c>
      <c r="B52" s="452" t="s">
        <v>472</v>
      </c>
      <c r="C52" s="453">
        <v>135</v>
      </c>
      <c r="D52" s="528">
        <f>'Fwy &amp; Tee Quantities '!J11+'Greens Quantities '!K15+'Rough Quantities'!M7+'Range Quantities'!J11</f>
        <v>23</v>
      </c>
      <c r="E52" s="1257">
        <f>C52*D52</f>
        <v>3105</v>
      </c>
      <c r="J52" s="363" t="s">
        <v>512</v>
      </c>
      <c r="K52" t="s">
        <v>502</v>
      </c>
      <c r="L52" s="424">
        <f>C34</f>
        <v>1865.42</v>
      </c>
      <c r="M52" s="373">
        <f>D34</f>
        <v>4</v>
      </c>
      <c r="N52" s="425">
        <f>L52*M52</f>
        <v>7461.68</v>
      </c>
      <c r="O52" s="1394"/>
    </row>
    <row r="53" spans="1:15" x14ac:dyDescent="0.25">
      <c r="A53" s="455" t="s">
        <v>57</v>
      </c>
      <c r="B53" s="456" t="s">
        <v>472</v>
      </c>
      <c r="C53" s="457">
        <v>695</v>
      </c>
      <c r="D53" s="529">
        <f>'Fwy &amp; Tee Quantities '!K23+'Greens Quantities '!K25+'Range Quantities'!K23</f>
        <v>14</v>
      </c>
      <c r="E53" s="1258">
        <f>C53*D53</f>
        <v>9730</v>
      </c>
      <c r="J53" s="369" t="s">
        <v>513</v>
      </c>
      <c r="K53" s="258" t="s">
        <v>472</v>
      </c>
      <c r="L53" s="440">
        <f>C53</f>
        <v>695</v>
      </c>
      <c r="M53" s="533">
        <f>D53</f>
        <v>14</v>
      </c>
      <c r="N53" s="441">
        <f>L53*M53</f>
        <v>9730</v>
      </c>
      <c r="O53" s="1394"/>
    </row>
    <row r="54" spans="1:15" x14ac:dyDescent="0.25">
      <c r="A54" s="455" t="s">
        <v>199</v>
      </c>
      <c r="B54" s="452" t="s">
        <v>472</v>
      </c>
      <c r="C54" s="461">
        <v>74.88</v>
      </c>
      <c r="D54" s="454">
        <f>'Rough Quantities'!M5+'Range Quantities'!J8</f>
        <v>67</v>
      </c>
      <c r="E54" s="1258">
        <f t="shared" ref="E54:E61" si="10">C54*D54</f>
        <v>5016.96</v>
      </c>
      <c r="M54" s="272" t="s">
        <v>354</v>
      </c>
      <c r="N54" s="442">
        <f>SUM(N46:N53)</f>
        <v>45125.68</v>
      </c>
    </row>
    <row r="55" spans="1:15" ht="18.75" x14ac:dyDescent="0.3">
      <c r="A55" s="455" t="s">
        <v>405</v>
      </c>
      <c r="B55" s="456" t="s">
        <v>471</v>
      </c>
      <c r="C55" s="463">
        <v>140</v>
      </c>
      <c r="D55" s="458">
        <f>'Rough Quantities'!M8</f>
        <v>37</v>
      </c>
      <c r="E55" s="1258">
        <f t="shared" si="10"/>
        <v>5180</v>
      </c>
      <c r="J55" s="386" t="s">
        <v>127</v>
      </c>
      <c r="K55" s="375"/>
      <c r="L55" s="375"/>
      <c r="M55" s="375"/>
      <c r="N55" s="387"/>
    </row>
    <row r="56" spans="1:15" x14ac:dyDescent="0.25">
      <c r="A56" s="455" t="s">
        <v>198</v>
      </c>
      <c r="B56" s="456" t="s">
        <v>472</v>
      </c>
      <c r="C56" s="466">
        <v>187.5</v>
      </c>
      <c r="D56" s="458">
        <f>'Rough Quantities'!M10+'Range Quantities'!J5</f>
        <v>89</v>
      </c>
      <c r="E56" s="1258">
        <f t="shared" si="10"/>
        <v>16687.5</v>
      </c>
      <c r="G56" s="746"/>
      <c r="J56" s="391" t="s">
        <v>2</v>
      </c>
      <c r="K56" s="391" t="s">
        <v>466</v>
      </c>
      <c r="L56" s="391" t="s">
        <v>467</v>
      </c>
      <c r="M56" s="391" t="s">
        <v>468</v>
      </c>
      <c r="N56" s="391" t="s">
        <v>469</v>
      </c>
    </row>
    <row r="57" spans="1:15" x14ac:dyDescent="0.25">
      <c r="A57" s="455" t="s">
        <v>206</v>
      </c>
      <c r="B57" s="456" t="s">
        <v>476</v>
      </c>
      <c r="C57" s="466">
        <v>537</v>
      </c>
      <c r="D57" s="454">
        <f>'Range Quantities'!J10</f>
        <v>1</v>
      </c>
      <c r="E57" s="1258">
        <f t="shared" si="10"/>
        <v>537</v>
      </c>
      <c r="J57" s="363" t="s">
        <v>250</v>
      </c>
      <c r="K57" t="s">
        <v>514</v>
      </c>
      <c r="L57" s="424">
        <f>C85</f>
        <v>233</v>
      </c>
      <c r="M57" s="373">
        <f>D85</f>
        <v>20</v>
      </c>
      <c r="N57" s="425">
        <f>L57*M57</f>
        <v>4660</v>
      </c>
    </row>
    <row r="58" spans="1:15" x14ac:dyDescent="0.25">
      <c r="A58" s="455" t="s">
        <v>207</v>
      </c>
      <c r="B58" s="456" t="s">
        <v>472</v>
      </c>
      <c r="C58" s="466">
        <v>410</v>
      </c>
      <c r="D58" s="454">
        <f>'Range Quantities'!J18</f>
        <v>1</v>
      </c>
      <c r="E58" s="1258">
        <f t="shared" si="10"/>
        <v>410</v>
      </c>
      <c r="J58" s="363" t="s">
        <v>43</v>
      </c>
      <c r="K58" t="s">
        <v>472</v>
      </c>
      <c r="L58" s="424">
        <f>'Fairway, Tee Breakdown'!J27</f>
        <v>330</v>
      </c>
      <c r="M58" s="373">
        <f>'Fwy &amp; Tee Quantities '!K31+'Range Quantities'!K31</f>
        <v>3</v>
      </c>
      <c r="N58" s="425">
        <f>L58*M58</f>
        <v>990</v>
      </c>
    </row>
    <row r="59" spans="1:15" x14ac:dyDescent="0.25">
      <c r="A59" s="455" t="s">
        <v>197</v>
      </c>
      <c r="B59" s="456" t="s">
        <v>471</v>
      </c>
      <c r="C59" s="466">
        <v>245</v>
      </c>
      <c r="D59" s="454">
        <f>'Range Quantities'!J4+'Rough Quantities'!M6</f>
        <v>31</v>
      </c>
      <c r="E59" s="1258">
        <f t="shared" si="10"/>
        <v>7595</v>
      </c>
      <c r="J59" s="263" t="s">
        <v>129</v>
      </c>
      <c r="K59" t="s">
        <v>515</v>
      </c>
      <c r="L59" s="424">
        <f>C72</f>
        <v>549.5</v>
      </c>
      <c r="M59">
        <f>D72</f>
        <v>10</v>
      </c>
      <c r="N59" s="425">
        <f>L59*M59</f>
        <v>5495</v>
      </c>
    </row>
    <row r="60" spans="1:15" x14ac:dyDescent="0.25">
      <c r="A60" s="455" t="s">
        <v>220</v>
      </c>
      <c r="B60" s="456" t="s">
        <v>471</v>
      </c>
      <c r="C60" s="466">
        <v>48</v>
      </c>
      <c r="D60" s="454">
        <f>'Range Quantities'!J3</f>
        <v>1</v>
      </c>
      <c r="E60" s="1258">
        <f t="shared" si="10"/>
        <v>48</v>
      </c>
      <c r="J60" s="263" t="s">
        <v>411</v>
      </c>
      <c r="K60" t="s">
        <v>472</v>
      </c>
      <c r="L60" s="424">
        <f>C79</f>
        <v>237.5</v>
      </c>
      <c r="M60" s="373">
        <f>D79</f>
        <v>10</v>
      </c>
      <c r="N60" s="425">
        <f>L60*M60</f>
        <v>2375</v>
      </c>
    </row>
    <row r="61" spans="1:15" x14ac:dyDescent="0.25">
      <c r="A61" s="455" t="s">
        <v>211</v>
      </c>
      <c r="B61" s="456" t="s">
        <v>472</v>
      </c>
      <c r="C61" s="466">
        <v>325</v>
      </c>
      <c r="D61" s="454">
        <f>'Range Quantities'!J14</f>
        <v>5</v>
      </c>
      <c r="E61" s="1258">
        <f t="shared" si="10"/>
        <v>1625</v>
      </c>
      <c r="J61" s="263" t="s">
        <v>35</v>
      </c>
      <c r="K61" t="s">
        <v>472</v>
      </c>
      <c r="L61" s="424">
        <f>C92</f>
        <v>643.63</v>
      </c>
      <c r="M61" s="373">
        <f>D92</f>
        <v>0</v>
      </c>
      <c r="N61" s="425">
        <f t="shared" ref="N61:N69" si="11">L61*M61</f>
        <v>0</v>
      </c>
    </row>
    <row r="62" spans="1:15" x14ac:dyDescent="0.25">
      <c r="A62" s="455" t="s">
        <v>370</v>
      </c>
      <c r="B62" s="456" t="s">
        <v>472</v>
      </c>
      <c r="C62" s="466">
        <v>180</v>
      </c>
      <c r="D62" s="458">
        <f>'Rough Quantities'!M4</f>
        <v>44</v>
      </c>
      <c r="E62" s="1258">
        <f>C62*D62</f>
        <v>7920</v>
      </c>
      <c r="J62" s="263" t="s">
        <v>516</v>
      </c>
      <c r="K62" t="s">
        <v>517</v>
      </c>
      <c r="L62" s="424">
        <f>C93</f>
        <v>141.25</v>
      </c>
      <c r="M62" s="373">
        <f>D93</f>
        <v>6</v>
      </c>
      <c r="N62" s="425">
        <f t="shared" si="11"/>
        <v>847.5</v>
      </c>
    </row>
    <row r="63" spans="1:15" x14ac:dyDescent="0.25">
      <c r="A63" s="456" t="s">
        <v>360</v>
      </c>
      <c r="B63" s="456" t="s">
        <v>471</v>
      </c>
      <c r="C63" s="463">
        <v>350</v>
      </c>
      <c r="D63" s="458">
        <f>'Rough Quantities'!M39</f>
        <v>11</v>
      </c>
      <c r="E63" s="1258">
        <f>C63*D63</f>
        <v>3850</v>
      </c>
      <c r="J63" s="263" t="s">
        <v>385</v>
      </c>
      <c r="K63" t="s">
        <v>480</v>
      </c>
      <c r="L63" s="424">
        <f>C46</f>
        <v>65</v>
      </c>
      <c r="M63" s="373">
        <f>D46</f>
        <v>7</v>
      </c>
      <c r="N63" s="425">
        <f t="shared" si="11"/>
        <v>455</v>
      </c>
    </row>
    <row r="64" spans="1:15" x14ac:dyDescent="0.25">
      <c r="A64" s="1302" t="s">
        <v>196</v>
      </c>
      <c r="B64" s="1302" t="s">
        <v>472</v>
      </c>
      <c r="C64" s="1303">
        <v>280</v>
      </c>
      <c r="D64" s="1304">
        <f>'Rough Quantities'!M14+'Range Quantities'!K35</f>
        <v>9</v>
      </c>
      <c r="E64" s="1305">
        <f>C64*D64</f>
        <v>2520</v>
      </c>
      <c r="J64" s="263" t="s">
        <v>395</v>
      </c>
      <c r="K64" t="s">
        <v>489</v>
      </c>
      <c r="L64" s="424">
        <f>C19</f>
        <v>123.85</v>
      </c>
      <c r="M64" s="373">
        <f>D19</f>
        <v>21</v>
      </c>
      <c r="N64" s="425">
        <f t="shared" si="11"/>
        <v>2600.85</v>
      </c>
    </row>
    <row r="65" spans="1:14" x14ac:dyDescent="0.25">
      <c r="A65" s="1282"/>
      <c r="B65" s="1282"/>
      <c r="C65" s="1283"/>
      <c r="D65" s="1284" t="s">
        <v>491</v>
      </c>
      <c r="E65" s="1285">
        <f>SUM(E52:E64)</f>
        <v>64224.46</v>
      </c>
      <c r="J65" s="263" t="s">
        <v>379</v>
      </c>
      <c r="K65" t="s">
        <v>490</v>
      </c>
      <c r="L65" s="424">
        <f>C20</f>
        <v>78</v>
      </c>
      <c r="M65" s="373">
        <f>D20</f>
        <v>4</v>
      </c>
      <c r="N65" s="425">
        <f t="shared" si="11"/>
        <v>312</v>
      </c>
    </row>
    <row r="66" spans="1:14" x14ac:dyDescent="0.25">
      <c r="J66" s="263" t="s">
        <v>396</v>
      </c>
      <c r="K66" t="s">
        <v>472</v>
      </c>
      <c r="L66" s="424">
        <f>C47</f>
        <v>895</v>
      </c>
      <c r="M66" s="373">
        <f>D47</f>
        <v>3</v>
      </c>
      <c r="N66" s="425">
        <f t="shared" si="11"/>
        <v>2685</v>
      </c>
    </row>
    <row r="67" spans="1:14" ht="18.75" x14ac:dyDescent="0.3">
      <c r="A67" s="467" t="s">
        <v>518</v>
      </c>
      <c r="B67" s="468"/>
      <c r="C67" s="468"/>
      <c r="D67" s="468"/>
      <c r="E67" s="469"/>
      <c r="J67" s="263" t="s">
        <v>398</v>
      </c>
      <c r="K67" t="s">
        <v>490</v>
      </c>
      <c r="L67" s="424">
        <f>C95</f>
        <v>213.33</v>
      </c>
      <c r="M67" s="373">
        <f>D95</f>
        <v>6</v>
      </c>
      <c r="N67" s="425">
        <f t="shared" si="11"/>
        <v>1279.98</v>
      </c>
    </row>
    <row r="68" spans="1:14" x14ac:dyDescent="0.25">
      <c r="A68" s="470" t="s">
        <v>2</v>
      </c>
      <c r="B68" s="471" t="s">
        <v>104</v>
      </c>
      <c r="C68" s="471" t="s">
        <v>152</v>
      </c>
      <c r="D68" s="471" t="s">
        <v>465</v>
      </c>
      <c r="E68" s="472" t="s">
        <v>153</v>
      </c>
      <c r="J68" s="263" t="s">
        <v>376</v>
      </c>
      <c r="K68" t="s">
        <v>471</v>
      </c>
      <c r="L68" s="424">
        <f>C94</f>
        <v>145</v>
      </c>
      <c r="M68" s="373">
        <f>D94</f>
        <v>3</v>
      </c>
      <c r="N68" s="425">
        <f t="shared" si="11"/>
        <v>435</v>
      </c>
    </row>
    <row r="69" spans="1:14" x14ac:dyDescent="0.25">
      <c r="A69" s="473" t="s">
        <v>84</v>
      </c>
      <c r="B69" s="473" t="s">
        <v>475</v>
      </c>
      <c r="C69" s="474">
        <v>295</v>
      </c>
      <c r="D69" s="530">
        <f>'Fwy &amp; Tee Quantities '!J17+'Greens Quantities '!K11+'Greens Quantities '!W3</f>
        <v>19</v>
      </c>
      <c r="E69" s="1259">
        <f>D69*C69</f>
        <v>5605</v>
      </c>
      <c r="J69" s="1295" t="s">
        <v>360</v>
      </c>
      <c r="K69" s="1291" t="s">
        <v>471</v>
      </c>
      <c r="L69" s="1292">
        <f>C63</f>
        <v>350</v>
      </c>
      <c r="M69" s="1293">
        <f>D63</f>
        <v>11</v>
      </c>
      <c r="N69" s="1294">
        <f t="shared" si="11"/>
        <v>3850</v>
      </c>
    </row>
    <row r="70" spans="1:14" x14ac:dyDescent="0.25">
      <c r="A70" s="473" t="s">
        <v>86</v>
      </c>
      <c r="B70" s="473" t="s">
        <v>481</v>
      </c>
      <c r="C70" s="474">
        <v>273.83999999999997</v>
      </c>
      <c r="D70" s="530">
        <f>'Fwy &amp; Tee Quantities '!J12+'Greens Quantities '!K16</f>
        <v>0</v>
      </c>
      <c r="E70" s="1259">
        <f>C70*D70</f>
        <v>0</v>
      </c>
      <c r="M70" s="272" t="s">
        <v>354</v>
      </c>
      <c r="N70" s="442">
        <f>SUM(N57:N69)</f>
        <v>25985.329999999998</v>
      </c>
    </row>
    <row r="71" spans="1:14" ht="18.75" x14ac:dyDescent="0.3">
      <c r="A71" s="476" t="s">
        <v>50</v>
      </c>
      <c r="B71" s="476" t="s">
        <v>472</v>
      </c>
      <c r="C71" s="477">
        <v>760.25</v>
      </c>
      <c r="D71" s="475">
        <f>'Fwy &amp; Tee Quantities '!K38+'Greens Quantities '!K34+'Range Quantities'!K38</f>
        <v>6</v>
      </c>
      <c r="E71" s="1259">
        <f>C71*D71</f>
        <v>4561.5</v>
      </c>
      <c r="J71" s="459" t="s">
        <v>270</v>
      </c>
      <c r="K71" s="460"/>
      <c r="L71" s="460"/>
      <c r="M71" s="460"/>
      <c r="N71" s="380"/>
    </row>
    <row r="72" spans="1:14" x14ac:dyDescent="0.25">
      <c r="A72" s="473" t="s">
        <v>129</v>
      </c>
      <c r="B72" s="473" t="s">
        <v>483</v>
      </c>
      <c r="C72" s="474">
        <v>549.5</v>
      </c>
      <c r="D72" s="475">
        <f>'Fwy &amp; Tee Quantities '!K32+'Range Quantities'!K32</f>
        <v>10</v>
      </c>
      <c r="E72" s="1259">
        <f>C72*D72</f>
        <v>5495</v>
      </c>
      <c r="J72" s="462" t="s">
        <v>2</v>
      </c>
      <c r="K72" s="462" t="s">
        <v>466</v>
      </c>
      <c r="L72" s="462" t="s">
        <v>467</v>
      </c>
      <c r="M72" s="462" t="s">
        <v>468</v>
      </c>
      <c r="N72" s="462" t="s">
        <v>469</v>
      </c>
    </row>
    <row r="73" spans="1:14" ht="15.75" x14ac:dyDescent="0.25">
      <c r="A73" s="478"/>
      <c r="B73" s="479"/>
      <c r="C73" s="479"/>
      <c r="D73" s="1242" t="s">
        <v>491</v>
      </c>
      <c r="E73" s="1243">
        <f>SUM(E69:E72)</f>
        <v>15661.5</v>
      </c>
      <c r="J73" s="462" t="s">
        <v>519</v>
      </c>
      <c r="K73" s="375" t="s">
        <v>478</v>
      </c>
      <c r="L73" s="464">
        <f>C10</f>
        <v>3020</v>
      </c>
      <c r="M73" s="375">
        <f>D10</f>
        <v>3</v>
      </c>
      <c r="N73" s="465">
        <f>L73*M73</f>
        <v>9060</v>
      </c>
    </row>
    <row r="74" spans="1:14" x14ac:dyDescent="0.25">
      <c r="J74" s="363" t="s">
        <v>52</v>
      </c>
      <c r="K74" t="s">
        <v>472</v>
      </c>
      <c r="L74" s="424">
        <f>C11</f>
        <v>1282.5</v>
      </c>
      <c r="M74">
        <f>D11</f>
        <v>0</v>
      </c>
      <c r="N74" s="425">
        <f t="shared" ref="N74:N75" si="12">L74*M74</f>
        <v>0</v>
      </c>
    </row>
    <row r="75" spans="1:14" ht="18.75" x14ac:dyDescent="0.3">
      <c r="A75" s="480" t="s">
        <v>520</v>
      </c>
      <c r="B75" s="481"/>
      <c r="C75" s="481"/>
      <c r="D75" s="481"/>
      <c r="E75" s="482"/>
      <c r="J75" s="363" t="s">
        <v>11</v>
      </c>
      <c r="K75" t="s">
        <v>472</v>
      </c>
      <c r="L75" s="424">
        <f>C35</f>
        <v>129</v>
      </c>
      <c r="M75" s="373">
        <f>D35</f>
        <v>61</v>
      </c>
      <c r="N75" s="425">
        <f t="shared" si="12"/>
        <v>7869</v>
      </c>
    </row>
    <row r="76" spans="1:14" x14ac:dyDescent="0.25">
      <c r="A76" s="483" t="s">
        <v>2</v>
      </c>
      <c r="B76" s="484" t="s">
        <v>104</v>
      </c>
      <c r="C76" s="484" t="s">
        <v>152</v>
      </c>
      <c r="D76" s="484" t="s">
        <v>465</v>
      </c>
      <c r="E76" s="485" t="s">
        <v>153</v>
      </c>
      <c r="J76" s="363" t="s">
        <v>521</v>
      </c>
      <c r="K76" t="s">
        <v>472</v>
      </c>
      <c r="L76" s="424">
        <f>C71</f>
        <v>760.25</v>
      </c>
      <c r="M76">
        <f>D71</f>
        <v>6</v>
      </c>
      <c r="N76" s="425">
        <f>L76*M76</f>
        <v>4561.5</v>
      </c>
    </row>
    <row r="77" spans="1:14" x14ac:dyDescent="0.25">
      <c r="A77" s="534" t="s">
        <v>522</v>
      </c>
      <c r="B77" s="535" t="s">
        <v>494</v>
      </c>
      <c r="C77" s="536">
        <v>450</v>
      </c>
      <c r="D77" s="537">
        <f>'Greens Quantities '!K9</f>
        <v>18</v>
      </c>
      <c r="E77" s="1260">
        <f>C77*D77</f>
        <v>8100</v>
      </c>
      <c r="J77" s="1306" t="s">
        <v>196</v>
      </c>
      <c r="K77" s="1291" t="s">
        <v>472</v>
      </c>
      <c r="L77" s="1292">
        <f>C64</f>
        <v>280</v>
      </c>
      <c r="M77" s="1291">
        <f>D64</f>
        <v>9</v>
      </c>
      <c r="N77" s="1294">
        <f>L77*M77</f>
        <v>2520</v>
      </c>
    </row>
    <row r="78" spans="1:14" x14ac:dyDescent="0.25">
      <c r="A78" s="534" t="s">
        <v>283</v>
      </c>
      <c r="B78" s="535" t="s">
        <v>472</v>
      </c>
      <c r="C78" s="536">
        <v>922.5</v>
      </c>
      <c r="D78" s="537">
        <f>'Greens Quantities '!K20</f>
        <v>0</v>
      </c>
      <c r="E78" s="1260">
        <f>C78*D78</f>
        <v>0</v>
      </c>
      <c r="M78" s="272" t="s">
        <v>354</v>
      </c>
      <c r="N78" s="442">
        <f>SUM(N73:N77)</f>
        <v>24010.5</v>
      </c>
    </row>
    <row r="79" spans="1:14" ht="18.75" x14ac:dyDescent="0.3">
      <c r="A79" s="486" t="s">
        <v>411</v>
      </c>
      <c r="B79" s="487" t="s">
        <v>472</v>
      </c>
      <c r="C79" s="488">
        <v>237.5</v>
      </c>
      <c r="D79" s="537">
        <f>'Rough Quantities'!M20</f>
        <v>10</v>
      </c>
      <c r="E79" s="1260">
        <f>C79*D79</f>
        <v>2375</v>
      </c>
      <c r="J79" s="459" t="s">
        <v>193</v>
      </c>
      <c r="K79" s="460"/>
      <c r="L79" s="460"/>
      <c r="M79" s="460"/>
      <c r="N79" s="380"/>
    </row>
    <row r="80" spans="1:14" ht="15.75" x14ac:dyDescent="0.25">
      <c r="A80" s="489"/>
      <c r="B80" s="490"/>
      <c r="C80" s="490"/>
      <c r="D80" s="1242" t="s">
        <v>491</v>
      </c>
      <c r="E80" s="1243">
        <f>SUM(E77:E79)</f>
        <v>10475</v>
      </c>
      <c r="J80" s="391" t="s">
        <v>2</v>
      </c>
      <c r="K80" s="391" t="s">
        <v>466</v>
      </c>
      <c r="L80" s="391" t="s">
        <v>467</v>
      </c>
      <c r="M80" s="391" t="s">
        <v>468</v>
      </c>
      <c r="N80" s="391" t="s">
        <v>469</v>
      </c>
    </row>
    <row r="81" spans="1:14" x14ac:dyDescent="0.25">
      <c r="J81" s="363" t="s">
        <v>523</v>
      </c>
      <c r="K81" t="s">
        <v>524</v>
      </c>
      <c r="L81" s="424">
        <f>C105</f>
        <v>7997</v>
      </c>
      <c r="M81" s="373">
        <f>D105</f>
        <v>5</v>
      </c>
      <c r="N81" s="425">
        <f>M81*L81</f>
        <v>39985</v>
      </c>
    </row>
    <row r="82" spans="1:14" ht="18.75" x14ac:dyDescent="0.3">
      <c r="A82" s="491" t="s">
        <v>345</v>
      </c>
      <c r="B82" s="492"/>
      <c r="C82" s="492"/>
      <c r="D82" s="492"/>
      <c r="E82" s="493"/>
      <c r="J82" s="363" t="s">
        <v>239</v>
      </c>
      <c r="K82" t="s">
        <v>472</v>
      </c>
      <c r="L82" s="424">
        <f>C106</f>
        <v>283.5</v>
      </c>
      <c r="M82" s="373">
        <f>D106</f>
        <v>13</v>
      </c>
      <c r="N82" s="425">
        <f t="shared" ref="N82:N84" si="13">M82*L82</f>
        <v>3685.5</v>
      </c>
    </row>
    <row r="83" spans="1:14" x14ac:dyDescent="0.25">
      <c r="A83" s="494" t="s">
        <v>2</v>
      </c>
      <c r="B83" s="495" t="s">
        <v>104</v>
      </c>
      <c r="C83" s="495" t="s">
        <v>152</v>
      </c>
      <c r="D83" s="495" t="s">
        <v>465</v>
      </c>
      <c r="E83" s="496" t="s">
        <v>153</v>
      </c>
      <c r="J83" s="363" t="s">
        <v>133</v>
      </c>
      <c r="K83" t="s">
        <v>525</v>
      </c>
      <c r="L83" s="424">
        <f>C109</f>
        <v>2950</v>
      </c>
      <c r="M83">
        <f>D109</f>
        <v>4</v>
      </c>
      <c r="N83" s="425">
        <f>M83*L83</f>
        <v>11800</v>
      </c>
    </row>
    <row r="84" spans="1:14" x14ac:dyDescent="0.25">
      <c r="A84" s="497" t="s">
        <v>526</v>
      </c>
      <c r="B84" s="497" t="s">
        <v>498</v>
      </c>
      <c r="C84" s="498">
        <v>474.81</v>
      </c>
      <c r="D84" s="531">
        <f>'Greens Quantities '!K14</f>
        <v>20</v>
      </c>
      <c r="E84" s="1261">
        <f>C84*D84</f>
        <v>9496.2000000000007</v>
      </c>
      <c r="J84" s="363" t="s">
        <v>63</v>
      </c>
      <c r="K84" t="s">
        <v>525</v>
      </c>
      <c r="L84" s="424">
        <f>C108</f>
        <v>2690</v>
      </c>
      <c r="M84" s="373">
        <f>D108</f>
        <v>2</v>
      </c>
      <c r="N84" s="425">
        <f t="shared" si="13"/>
        <v>5380</v>
      </c>
    </row>
    <row r="85" spans="1:14" x14ac:dyDescent="0.25">
      <c r="A85" s="497" t="s">
        <v>527</v>
      </c>
      <c r="B85" s="497" t="s">
        <v>528</v>
      </c>
      <c r="C85" s="498">
        <v>233</v>
      </c>
      <c r="D85" s="1244">
        <f>'Greens Quantities '!K41</f>
        <v>20</v>
      </c>
      <c r="E85" s="1262">
        <f>C85*D85</f>
        <v>4660</v>
      </c>
      <c r="J85" s="369" t="s">
        <v>375</v>
      </c>
      <c r="K85" s="258" t="s">
        <v>472</v>
      </c>
      <c r="L85" s="440">
        <f>C107</f>
        <v>1100</v>
      </c>
      <c r="M85" s="373">
        <f>D107</f>
        <v>6</v>
      </c>
      <c r="N85" s="425">
        <f t="shared" ref="N85" si="14">M85*L85</f>
        <v>6600</v>
      </c>
    </row>
    <row r="86" spans="1:14" ht="15.75" x14ac:dyDescent="0.25">
      <c r="A86" s="499"/>
      <c r="B86" s="500"/>
      <c r="C86" s="500"/>
      <c r="D86" s="1242" t="s">
        <v>491</v>
      </c>
      <c r="E86" s="1243">
        <f>SUM(E84:E85)</f>
        <v>14156.2</v>
      </c>
      <c r="M86" s="1135" t="s">
        <v>354</v>
      </c>
      <c r="N86" s="1465">
        <f>SUM(N81:N85)</f>
        <v>67450.5</v>
      </c>
    </row>
    <row r="88" spans="1:14" ht="18.75" x14ac:dyDescent="0.3">
      <c r="A88" s="501" t="s">
        <v>171</v>
      </c>
      <c r="B88" s="502"/>
      <c r="C88" s="502"/>
      <c r="D88" s="502"/>
      <c r="E88" s="503"/>
    </row>
    <row r="89" spans="1:14" x14ac:dyDescent="0.25">
      <c r="A89" s="504" t="s">
        <v>2</v>
      </c>
      <c r="B89" s="505" t="s">
        <v>104</v>
      </c>
      <c r="C89" s="505" t="s">
        <v>152</v>
      </c>
      <c r="D89" s="505" t="s">
        <v>465</v>
      </c>
      <c r="E89" s="506" t="s">
        <v>153</v>
      </c>
    </row>
    <row r="90" spans="1:14" x14ac:dyDescent="0.25">
      <c r="A90" s="646" t="s">
        <v>69</v>
      </c>
      <c r="B90" s="646" t="s">
        <v>511</v>
      </c>
      <c r="C90" s="647">
        <v>879</v>
      </c>
      <c r="D90" s="648">
        <f>'Fwy &amp; Tee Quantities '!K24+'Greens Quantities '!K26+'Range Quantities'!K24</f>
        <v>8</v>
      </c>
      <c r="E90" s="1263">
        <f>C90*D90</f>
        <v>7032</v>
      </c>
      <c r="L90" s="1135" t="s">
        <v>529</v>
      </c>
      <c r="M90" s="1464"/>
      <c r="N90" s="1465">
        <f>SUM(N86+N78+N70+N54+N43+E101-N58)</f>
        <v>447982.05000000005</v>
      </c>
    </row>
    <row r="91" spans="1:14" x14ac:dyDescent="0.25">
      <c r="A91" s="646" t="s">
        <v>530</v>
      </c>
      <c r="B91" s="646" t="s">
        <v>472</v>
      </c>
      <c r="C91" s="647">
        <v>0</v>
      </c>
      <c r="D91" s="648">
        <f>'Fwy &amp; Tee Quantities '!K27</f>
        <v>0</v>
      </c>
      <c r="E91" s="1263">
        <f>C91*D91</f>
        <v>0</v>
      </c>
    </row>
    <row r="92" spans="1:14" x14ac:dyDescent="0.25">
      <c r="A92" s="507" t="s">
        <v>35</v>
      </c>
      <c r="B92" s="507" t="s">
        <v>472</v>
      </c>
      <c r="C92" s="508">
        <v>643.63</v>
      </c>
      <c r="D92" s="532">
        <f>'Fwy &amp; Tee Quantities '!K30+'Range Quantities'!K30</f>
        <v>0</v>
      </c>
      <c r="E92" s="1263">
        <f t="shared" ref="E92:E93" si="15">C92*D92</f>
        <v>0</v>
      </c>
    </row>
    <row r="93" spans="1:14" x14ac:dyDescent="0.25">
      <c r="A93" s="646" t="s">
        <v>516</v>
      </c>
      <c r="B93" s="646" t="s">
        <v>517</v>
      </c>
      <c r="C93" s="647">
        <v>141.25</v>
      </c>
      <c r="D93" s="648">
        <f>'Rough Quantities'!M19</f>
        <v>6</v>
      </c>
      <c r="E93" s="1263">
        <f t="shared" si="15"/>
        <v>847.5</v>
      </c>
    </row>
    <row r="94" spans="1:14" x14ac:dyDescent="0.25">
      <c r="A94" s="1288" t="s">
        <v>376</v>
      </c>
      <c r="B94" s="646" t="s">
        <v>471</v>
      </c>
      <c r="C94" s="647">
        <v>145</v>
      </c>
      <c r="D94" s="648">
        <f>'Rough Quantities'!M38</f>
        <v>3</v>
      </c>
      <c r="E94" s="1263">
        <f>C94*D94</f>
        <v>435</v>
      </c>
    </row>
    <row r="95" spans="1:14" x14ac:dyDescent="0.25">
      <c r="A95" s="507" t="s">
        <v>398</v>
      </c>
      <c r="B95" s="507" t="s">
        <v>490</v>
      </c>
      <c r="C95" s="508">
        <v>213.33</v>
      </c>
      <c r="D95" s="1289">
        <f>'Rough Quantities'!M22</f>
        <v>6</v>
      </c>
      <c r="E95" s="1290">
        <f>C95*D95</f>
        <v>1279.98</v>
      </c>
    </row>
    <row r="96" spans="1:14" ht="15.75" x14ac:dyDescent="0.25">
      <c r="A96" s="509"/>
      <c r="B96" s="510"/>
      <c r="C96" s="510"/>
      <c r="D96" s="1276" t="s">
        <v>491</v>
      </c>
      <c r="E96" s="1277">
        <f>SUM(E90:E95)</f>
        <v>9594.48</v>
      </c>
    </row>
    <row r="98" spans="1:5" x14ac:dyDescent="0.25">
      <c r="A98" s="511" t="s">
        <v>531</v>
      </c>
      <c r="B98" s="512" t="s">
        <v>104</v>
      </c>
      <c r="C98" s="512" t="s">
        <v>152</v>
      </c>
      <c r="D98" s="512" t="s">
        <v>465</v>
      </c>
      <c r="E98" s="513" t="s">
        <v>153</v>
      </c>
    </row>
    <row r="99" spans="1:5" x14ac:dyDescent="0.25">
      <c r="A99" s="514" t="s">
        <v>532</v>
      </c>
      <c r="B99" s="515" t="s">
        <v>533</v>
      </c>
      <c r="C99" s="516">
        <v>2840</v>
      </c>
      <c r="D99" s="517">
        <v>12</v>
      </c>
      <c r="E99" s="518">
        <f>SUM(C99*D99)</f>
        <v>34080</v>
      </c>
    </row>
    <row r="100" spans="1:5" x14ac:dyDescent="0.25">
      <c r="A100" s="514" t="s">
        <v>429</v>
      </c>
      <c r="B100" s="515" t="s">
        <v>534</v>
      </c>
      <c r="C100" s="516">
        <v>2200</v>
      </c>
      <c r="D100" s="519">
        <v>8</v>
      </c>
      <c r="E100" s="520">
        <f>SUM(C100*D100)</f>
        <v>17600</v>
      </c>
    </row>
    <row r="101" spans="1:5" ht="15.75" x14ac:dyDescent="0.25">
      <c r="A101" s="1236"/>
      <c r="B101" s="1236"/>
      <c r="C101" s="1237"/>
      <c r="D101" s="1238" t="s">
        <v>535</v>
      </c>
      <c r="E101" s="1239">
        <f>SUM(E100+E99)</f>
        <v>51680</v>
      </c>
    </row>
    <row r="103" spans="1:5" ht="18.75" x14ac:dyDescent="0.3">
      <c r="A103" s="1085" t="s">
        <v>131</v>
      </c>
      <c r="B103" s="1086"/>
      <c r="C103" s="1086"/>
      <c r="D103" s="1086"/>
      <c r="E103" s="1087"/>
    </row>
    <row r="104" spans="1:5" x14ac:dyDescent="0.25">
      <c r="A104" s="1088" t="s">
        <v>2</v>
      </c>
      <c r="B104" s="1088" t="s">
        <v>104</v>
      </c>
      <c r="C104" s="1088" t="s">
        <v>152</v>
      </c>
      <c r="D104" s="1088" t="s">
        <v>465</v>
      </c>
      <c r="E104" s="1089" t="s">
        <v>153</v>
      </c>
    </row>
    <row r="105" spans="1:5" x14ac:dyDescent="0.25">
      <c r="A105" s="1090" t="s">
        <v>32</v>
      </c>
      <c r="B105" s="1090" t="s">
        <v>524</v>
      </c>
      <c r="C105" s="1091">
        <v>7997</v>
      </c>
      <c r="D105" s="1092">
        <v>5</v>
      </c>
      <c r="E105" s="1093">
        <f>SUM(C105*D105)</f>
        <v>39985</v>
      </c>
    </row>
    <row r="106" spans="1:5" x14ac:dyDescent="0.25">
      <c r="A106" s="1090" t="s">
        <v>239</v>
      </c>
      <c r="B106" s="1090" t="s">
        <v>472</v>
      </c>
      <c r="C106" s="1091">
        <v>283.5</v>
      </c>
      <c r="D106" s="1092">
        <f>'Greens Quantities '!K38</f>
        <v>13</v>
      </c>
      <c r="E106" s="1093">
        <f>SUM(D106*C106)</f>
        <v>3685.5</v>
      </c>
    </row>
    <row r="107" spans="1:5" x14ac:dyDescent="0.25">
      <c r="A107" s="1090" t="s">
        <v>375</v>
      </c>
      <c r="B107" s="1090" t="s">
        <v>524</v>
      </c>
      <c r="C107" s="1094">
        <v>1100</v>
      </c>
      <c r="D107" s="1092">
        <f>'Rough Quantities'!M31</f>
        <v>6</v>
      </c>
      <c r="E107" s="1095">
        <f>SUM(D107*C107)</f>
        <v>6600</v>
      </c>
    </row>
    <row r="108" spans="1:5" x14ac:dyDescent="0.25">
      <c r="A108" s="1096" t="s">
        <v>63</v>
      </c>
      <c r="B108" s="1096" t="s">
        <v>536</v>
      </c>
      <c r="C108" s="1097">
        <v>2690</v>
      </c>
      <c r="D108" s="1098">
        <f>'Fwy &amp; Tee Quantities '!K42+'Range Quantities'!K41</f>
        <v>2</v>
      </c>
      <c r="E108" s="1093">
        <f>SUM(D108*C108)</f>
        <v>5380</v>
      </c>
    </row>
    <row r="109" spans="1:5" x14ac:dyDescent="0.25">
      <c r="A109" s="1248" t="s">
        <v>133</v>
      </c>
      <c r="B109" s="1248" t="s">
        <v>537</v>
      </c>
      <c r="C109" s="1249">
        <v>2950</v>
      </c>
      <c r="D109" s="1099">
        <f>'Fwy &amp; Tee Quantities '!K43+'Rough Quantities'!M30</f>
        <v>4</v>
      </c>
      <c r="E109" s="1100">
        <f>SUM(D109*C109)</f>
        <v>11800</v>
      </c>
    </row>
    <row r="110" spans="1:5" ht="15.75" x14ac:dyDescent="0.25">
      <c r="A110" s="1234"/>
      <c r="B110" s="1234"/>
      <c r="C110" s="1235"/>
      <c r="D110" s="1240" t="s">
        <v>491</v>
      </c>
      <c r="E110" s="1241">
        <f>SUM(E105:E109)</f>
        <v>67450.5</v>
      </c>
    </row>
    <row r="118" spans="4:6" x14ac:dyDescent="0.25">
      <c r="D118" s="1251" t="s">
        <v>538</v>
      </c>
      <c r="E118" s="1250">
        <f>E21+E36+E48+E65+E73+E80+E86+E96+E101+E110</f>
        <v>447982.05</v>
      </c>
    </row>
    <row r="119" spans="4:6" x14ac:dyDescent="0.25">
      <c r="D119" s="563" t="s">
        <v>539</v>
      </c>
      <c r="E119" s="1137">
        <f>E118*0.06</f>
        <v>26878.922999999999</v>
      </c>
    </row>
    <row r="120" spans="4:6" x14ac:dyDescent="0.25">
      <c r="D120" s="1252" t="s">
        <v>540</v>
      </c>
      <c r="E120" s="1253">
        <f>E118+E119</f>
        <v>474860.973</v>
      </c>
      <c r="F120" t="s">
        <v>541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AA83-229E-497B-9BE5-6330D9004261}">
  <dimension ref="A1:O16"/>
  <sheetViews>
    <sheetView workbookViewId="0">
      <selection activeCell="J15" sqref="J15"/>
    </sheetView>
  </sheetViews>
  <sheetFormatPr defaultRowHeight="15" x14ac:dyDescent="0.25"/>
  <cols>
    <col min="1" max="1" width="19.85546875" bestFit="1" customWidth="1"/>
    <col min="2" max="2" width="12.42578125" bestFit="1" customWidth="1"/>
    <col min="3" max="3" width="14.7109375" bestFit="1" customWidth="1"/>
    <col min="4" max="11" width="16.28515625" bestFit="1" customWidth="1"/>
    <col min="12" max="12" width="17.85546875" bestFit="1" customWidth="1"/>
    <col min="14" max="14" width="25.85546875" bestFit="1" customWidth="1"/>
    <col min="15" max="15" width="24.28515625" bestFit="1" customWidth="1"/>
  </cols>
  <sheetData>
    <row r="1" spans="1:15" ht="21" x14ac:dyDescent="0.35">
      <c r="A1" s="1547" t="s">
        <v>542</v>
      </c>
      <c r="B1" s="1547"/>
      <c r="C1" s="1547"/>
      <c r="D1" s="1547"/>
      <c r="E1" s="1547"/>
      <c r="F1" s="1547"/>
      <c r="G1" s="1547"/>
      <c r="H1" s="1547"/>
      <c r="I1" s="1547"/>
      <c r="J1" s="1547"/>
      <c r="K1" s="1547"/>
    </row>
    <row r="3" spans="1:15" ht="63" x14ac:dyDescent="0.35">
      <c r="A3" s="1202"/>
      <c r="B3" s="1454" t="s">
        <v>333</v>
      </c>
      <c r="C3" s="1454" t="s">
        <v>543</v>
      </c>
      <c r="D3" s="1455" t="s">
        <v>156</v>
      </c>
      <c r="E3" s="1455" t="s">
        <v>157</v>
      </c>
      <c r="F3" s="1455" t="s">
        <v>158</v>
      </c>
      <c r="G3" s="1455" t="s">
        <v>159</v>
      </c>
      <c r="H3" s="1455" t="s">
        <v>544</v>
      </c>
      <c r="I3" s="1455" t="s">
        <v>545</v>
      </c>
      <c r="J3" s="1455" t="s">
        <v>162</v>
      </c>
      <c r="K3" s="1456" t="s">
        <v>163</v>
      </c>
      <c r="L3" s="1203" t="s">
        <v>546</v>
      </c>
      <c r="N3" s="1396" t="s">
        <v>547</v>
      </c>
      <c r="O3" s="1397" t="s">
        <v>548</v>
      </c>
    </row>
    <row r="4" spans="1:15" ht="21" x14ac:dyDescent="0.35">
      <c r="A4" s="1457" t="s">
        <v>549</v>
      </c>
      <c r="B4" s="1204">
        <f>'Greens Breakdown'!B61</f>
        <v>367.5</v>
      </c>
      <c r="C4" s="1204">
        <f>'Greens Breakdown'!C61+'Range Breakdown'!B49+'Fairway, Tee Breakdown'!B49</f>
        <v>3412.4999999999995</v>
      </c>
      <c r="D4" s="1205">
        <f>'Rough Breakdown'!B28+'Greens Breakdown'!D61+'Range Breakdown'!C49+'Fairway, Tee Breakdown'!C49</f>
        <v>23468.409449772407</v>
      </c>
      <c r="E4" s="1212">
        <f>'Rough Breakdown'!C28+'Greens Breakdown'!E61+'Range Breakdown'!D49+'Fairway, Tee Breakdown'!D49</f>
        <v>36227.265965948885</v>
      </c>
      <c r="F4" s="1212">
        <f>'Rough Breakdown'!D28+'Greens Breakdown'!F61+'Range Breakdown'!E49+'Fairway, Tee Breakdown'!E49</f>
        <v>34901.059656022408</v>
      </c>
      <c r="G4" s="1212">
        <f>'Rough Breakdown'!E28+'Greens Breakdown'!G61+'Range Breakdown'!F49+'Fairway, Tee Breakdown'!F49</f>
        <v>59945.722914583333</v>
      </c>
      <c r="H4" s="1212">
        <f>'Rough Breakdown'!F28+'Greens Breakdown'!H61+'Range Breakdown'!G49+'Fairway, Tee Breakdown'!G49</f>
        <v>58780.866791071428</v>
      </c>
      <c r="I4" s="1212">
        <f>'Rough Breakdown'!G28+'Greens Breakdown'!I61+'Range Breakdown'!H49+'Fairway, Tee Breakdown'!H49</f>
        <v>25312.432305555558</v>
      </c>
      <c r="J4" s="1212">
        <f>'Greens Breakdown'!J61+'Range Breakdown'!I49+'Fairway, Tee Breakdown'!I49</f>
        <v>18312.720958333335</v>
      </c>
      <c r="K4" s="1214">
        <f>'Range Breakdown'!J49+'Fairway, Tee Breakdown'!J49</f>
        <v>10901.875</v>
      </c>
      <c r="L4" s="1207">
        <f t="shared" ref="L4:L10" si="0">SUM(B4:K4)*1.06</f>
        <v>287928.17422376462</v>
      </c>
      <c r="N4" s="1398">
        <v>96117.09</v>
      </c>
      <c r="O4" s="1399">
        <f>N4*1.06</f>
        <v>101884.1154</v>
      </c>
    </row>
    <row r="5" spans="1:15" ht="21" x14ac:dyDescent="0.35">
      <c r="A5" s="1458" t="s">
        <v>190</v>
      </c>
      <c r="B5" s="1204">
        <v>0</v>
      </c>
      <c r="C5" s="1393">
        <v>0</v>
      </c>
      <c r="D5" s="1205">
        <f>'Greens Breakdown'!D62+'Range Breakdown'!C50+'Fairway, Tee Breakdown'!C50</f>
        <v>12381.477361200001</v>
      </c>
      <c r="E5" s="1205">
        <f>'Greens Breakdown'!E62+'Range Breakdown'!D50+'Fairway, Tee Breakdown'!D50</f>
        <v>15278.893372125</v>
      </c>
      <c r="F5" s="1205">
        <f>'Greens Breakdown'!F62+'Range Breakdown'!E50+'Fairway, Tee Breakdown'!E50</f>
        <v>12406.903021625001</v>
      </c>
      <c r="G5" s="1205">
        <f>'Greens Breakdown'!G62+'Range Breakdown'!F50+'Fairway, Tee Breakdown'!F50</f>
        <v>15027.627643395836</v>
      </c>
      <c r="H5" s="1205">
        <f>'Greens Breakdown'!H62+'Range Breakdown'!G50+'Fairway, Tee Breakdown'!G50</f>
        <v>7551.542872375001</v>
      </c>
      <c r="I5" s="1392">
        <v>0</v>
      </c>
      <c r="J5" s="1205">
        <v>0</v>
      </c>
      <c r="K5" s="1206">
        <v>0</v>
      </c>
      <c r="L5" s="1207">
        <f t="shared" si="0"/>
        <v>66405.230926964083</v>
      </c>
      <c r="N5" s="1398">
        <v>39503</v>
      </c>
      <c r="O5" s="1399">
        <f t="shared" ref="O5:O10" si="1">N5*1.06</f>
        <v>41873.18</v>
      </c>
    </row>
    <row r="6" spans="1:15" ht="21" x14ac:dyDescent="0.35">
      <c r="A6" s="1459" t="s">
        <v>550</v>
      </c>
      <c r="B6" s="1204">
        <v>0</v>
      </c>
      <c r="C6" s="1204">
        <v>0</v>
      </c>
      <c r="D6" s="1212">
        <f>'Rough Breakdown'!B29+'Fairway, Tee Breakdown'!C51</f>
        <v>4609.029125</v>
      </c>
      <c r="E6" s="1212">
        <f>'Rough Breakdown'!C29+'Greens Breakdown'!E65+'Range Breakdown'!D51+'Fairway, Tee Breakdown'!D51</f>
        <v>16478.057799500002</v>
      </c>
      <c r="F6" s="1205">
        <f>'Greens Breakdown'!F65+'Range Breakdown'!E51+'Fairway, Tee Breakdown'!E51</f>
        <v>2969.3593146000003</v>
      </c>
      <c r="G6" s="1205">
        <f>'Rough Breakdown'!E29+'Greens Breakdown'!G65+'Range Breakdown'!F51+'Fairway, Tee Breakdown'!F51</f>
        <v>7539.5936744999999</v>
      </c>
      <c r="H6" s="1212">
        <f>'Rough Breakdown'!F29+'Greens Breakdown'!H65+'Range Breakdown'!G51+'Fairway, Tee Breakdown'!G51</f>
        <v>1151.8749396000001</v>
      </c>
      <c r="I6" s="1212">
        <f>'Rough Breakdown'!G29+'Greens Breakdown'!I65+'Range Breakdown'!H51+'Fairway, Tee Breakdown'!H51</f>
        <v>1773.4687047</v>
      </c>
      <c r="J6" s="1205">
        <f>'Greens Breakdown'!J65+'Range Breakdown'!I51+'Fairway, Tee Breakdown'!I51</f>
        <v>2166.6484224000001</v>
      </c>
      <c r="K6" s="1206">
        <v>0</v>
      </c>
      <c r="L6" s="1207">
        <f t="shared" si="0"/>
        <v>38889.313899118002</v>
      </c>
      <c r="N6" s="1398">
        <v>15221.43</v>
      </c>
      <c r="O6" s="1399">
        <f t="shared" si="1"/>
        <v>16134.715800000002</v>
      </c>
    </row>
    <row r="7" spans="1:15" ht="21" x14ac:dyDescent="0.35">
      <c r="A7" s="1460" t="s">
        <v>192</v>
      </c>
      <c r="B7" s="1208">
        <v>0</v>
      </c>
      <c r="C7" s="1213">
        <f>'Fairway, Tee Breakdown'!B52+'Range Breakdown'!B52+'Greens Breakdown'!C63</f>
        <v>6131.90625</v>
      </c>
      <c r="D7" s="1215">
        <f>'Fairway, Tee Breakdown'!C52+'Range Breakdown'!C52+'Greens Breakdown'!D63+'Rough Breakdown'!B30</f>
        <v>0</v>
      </c>
      <c r="E7" s="1215">
        <f>'Fairway, Tee Breakdown'!D52+'Range Breakdown'!D52+'Greens Breakdown'!E63+'Rough Breakdown'!C30</f>
        <v>4235.8170252734371</v>
      </c>
      <c r="F7" s="1215">
        <f>'Fairway, Tee Breakdown'!E52+'Range Breakdown'!E52+'Greens Breakdown'!F63+'Rough Breakdown'!D30</f>
        <v>4787.3571635937496</v>
      </c>
      <c r="G7" s="1215">
        <f>'Fairway, Tee Breakdown'!F52+'Range Breakdown'!F52+'Greens Breakdown'!G63+'Rough Breakdown'!E30</f>
        <v>7006.9609076171864</v>
      </c>
      <c r="H7" s="1215">
        <f>'Fairway, Tee Breakdown'!G52+'Range Breakdown'!G52+'Greens Breakdown'!H63+'Rough Breakdown'!F30</f>
        <v>8548.1462260937496</v>
      </c>
      <c r="I7" s="1215">
        <f>'Fairway, Tee Breakdown'!H52+'Range Breakdown'!H52+'Greens Breakdown'!I63+'Rough Breakdown'!G30</f>
        <v>4787.3571635937496</v>
      </c>
      <c r="J7" s="1215">
        <f>'Fairway, Tee Breakdown'!I52+'Range Breakdown'!I52+'Greens Breakdown'!J63</f>
        <v>1149.2943690234374</v>
      </c>
      <c r="K7" s="1216">
        <f>'Fairway, Tee Breakdown'!J52+'Range Breakdown'!J52</f>
        <v>2634.421875</v>
      </c>
      <c r="L7" s="1207">
        <f t="shared" si="0"/>
        <v>41638.136639007025</v>
      </c>
      <c r="N7" s="1398">
        <v>22687.25</v>
      </c>
      <c r="O7" s="1399">
        <f t="shared" si="1"/>
        <v>24048.485000000001</v>
      </c>
    </row>
    <row r="8" spans="1:15" ht="21" x14ac:dyDescent="0.35">
      <c r="A8" s="1461" t="s">
        <v>193</v>
      </c>
      <c r="B8" s="1209">
        <v>0</v>
      </c>
      <c r="C8" s="1209">
        <f>'Greens Breakdown'!Q33</f>
        <v>176.18148961874999</v>
      </c>
      <c r="D8" s="1205">
        <f>'Greens Breakdown'!R32+'Greens Breakdown'!R33+'Rough Breakdown'!Q22</f>
        <v>1722.80495430625</v>
      </c>
      <c r="E8" s="1212">
        <f>'Fairway, Tee Breakdown'!S33+'Range Breakdown'!S34+'Greens Breakdown'!S32+'Greens Breakdown'!S33+'Rough Breakdown'!R21+'Rough Breakdown'!R22</f>
        <v>10104.706450350001</v>
      </c>
      <c r="F8" s="1212">
        <f>'Fairway, Tee Breakdown'!T33+'Range Breakdown'!T34+'Greens Breakdown'!T32+'Greens Breakdown'!T33+'Rough Breakdown'!S21+'Rough Breakdown'!S22</f>
        <v>10758.136404656248</v>
      </c>
      <c r="G8" s="1212">
        <f>'Fairway, Tee Breakdown'!U33+'Range Breakdown'!U34+'Greens Breakdown'!U32+'Greens Breakdown'!U33+'Rough Breakdown'!T21+'Rough Breakdown'!T22</f>
        <v>13175.399960731251</v>
      </c>
      <c r="H8" s="1212">
        <f>'Fairway, Tee Breakdown'!V33+'Fairway, Tee Breakdown'!V34+'Range Breakdown'!V34+'Greens Breakdown'!V32+'Greens Breakdown'!V33+'Rough Breakdown'!U21+'Rough Breakdown'!U22</f>
        <v>13920.322806040178</v>
      </c>
      <c r="I8" s="1212">
        <f>'Fairway, Tee Breakdown'!W33+'Fairway, Tee Breakdown'!W34+'Greens Breakdown'!V32+'Greens Breakdown'!V33+'Rough Breakdown'!V21+'Rough Breakdown'!V22</f>
        <v>10568.369681040178</v>
      </c>
      <c r="J8" s="1205">
        <f>'Greens Breakdown'!X33</f>
        <v>176.18148961874999</v>
      </c>
      <c r="K8" s="1206">
        <v>0</v>
      </c>
      <c r="L8" s="1207">
        <f t="shared" si="0"/>
        <v>64238.229430543302</v>
      </c>
      <c r="N8" s="1398">
        <v>1383.5</v>
      </c>
      <c r="O8" s="1399">
        <f t="shared" si="1"/>
        <v>1466.51</v>
      </c>
    </row>
    <row r="9" spans="1:15" ht="21" x14ac:dyDescent="0.35">
      <c r="A9" s="1462" t="s">
        <v>551</v>
      </c>
      <c r="B9" s="1205">
        <v>0</v>
      </c>
      <c r="C9" s="1205">
        <v>0</v>
      </c>
      <c r="D9" s="1212">
        <f>'Fairway, Tee Breakdown'!C54+'Range Breakdown'!C54</f>
        <v>4517.7978281250007</v>
      </c>
      <c r="E9" s="1212">
        <f>'Fairway, Tee Breakdown'!D54+'Range Breakdown'!D54</f>
        <v>6666.0749375000005</v>
      </c>
      <c r="F9" s="1212">
        <f>'Fairway, Tee Breakdown'!E54+'Range Breakdown'!E54</f>
        <v>7268.9812031250003</v>
      </c>
      <c r="G9" s="1212">
        <f>'Fairway, Tee Breakdown'!F54+'Range Breakdown'!F54</f>
        <v>9583.9747187500016</v>
      </c>
      <c r="H9" s="1212">
        <f>'Fairway, Tee Breakdown'!G54+'Range Breakdown'!G54</f>
        <v>12665.190875000002</v>
      </c>
      <c r="I9" s="1212">
        <f>'Fairway, Tee Breakdown'!H54+'Range Breakdown'!H54</f>
        <v>6749.4733750000005</v>
      </c>
      <c r="J9" s="1212">
        <f>'Fairway, Tee Breakdown'!I54+'Range Breakdown'!I54</f>
        <v>3803.2320312500005</v>
      </c>
      <c r="K9" s="1214">
        <f>'Fairway, Tee Breakdown'!J54+'Range Breakdown'!J54</f>
        <v>1927.9890625000003</v>
      </c>
      <c r="L9" s="1207">
        <f t="shared" si="0"/>
        <v>56373.676873125005</v>
      </c>
      <c r="N9" s="563"/>
      <c r="O9" s="1399">
        <f t="shared" si="1"/>
        <v>0</v>
      </c>
    </row>
    <row r="10" spans="1:15" ht="21" x14ac:dyDescent="0.35">
      <c r="A10" s="1463" t="s">
        <v>552</v>
      </c>
      <c r="B10" s="1210">
        <v>0</v>
      </c>
      <c r="C10" s="1210">
        <v>0</v>
      </c>
      <c r="D10" s="1210">
        <v>0</v>
      </c>
      <c r="E10" s="1210">
        <f>'Granular Fertilizer Breakdown'!O12</f>
        <v>31365</v>
      </c>
      <c r="F10" s="1210">
        <v>0</v>
      </c>
      <c r="G10" s="1210">
        <v>0</v>
      </c>
      <c r="H10" s="1210">
        <v>0</v>
      </c>
      <c r="I10" s="1210">
        <f>'Granular Fertilizer Breakdown'!O13</f>
        <v>16788.086206896551</v>
      </c>
      <c r="J10" s="1210">
        <v>0</v>
      </c>
      <c r="K10" s="1211">
        <v>0</v>
      </c>
      <c r="L10" s="1207">
        <f t="shared" si="0"/>
        <v>51042.271379310347</v>
      </c>
      <c r="N10" s="597"/>
      <c r="O10" s="1400">
        <f t="shared" si="1"/>
        <v>0</v>
      </c>
    </row>
    <row r="12" spans="1:15" ht="21" x14ac:dyDescent="0.35">
      <c r="A12" t="s">
        <v>553</v>
      </c>
      <c r="B12" s="397">
        <f t="shared" ref="B12:K12" si="2">SUM(B4:B10)*1.06</f>
        <v>389.55</v>
      </c>
      <c r="C12" s="397">
        <f t="shared" si="2"/>
        <v>10303.823003995874</v>
      </c>
      <c r="D12" s="397">
        <f t="shared" si="2"/>
        <v>49501.489841507886</v>
      </c>
      <c r="E12" s="397">
        <f t="shared" si="2"/>
        <v>127577.16448373918</v>
      </c>
      <c r="F12" s="397">
        <f t="shared" si="2"/>
        <v>77477.304569439759</v>
      </c>
      <c r="G12" s="397">
        <f t="shared" si="2"/>
        <v>119016.03660875229</v>
      </c>
      <c r="H12" s="397">
        <f t="shared" si="2"/>
        <v>108775.02118079118</v>
      </c>
      <c r="I12" s="397">
        <f t="shared" si="2"/>
        <v>69937.938682993205</v>
      </c>
      <c r="J12" s="397">
        <f t="shared" si="2"/>
        <v>27144.561906863059</v>
      </c>
      <c r="K12" s="397">
        <f t="shared" si="2"/>
        <v>16392.143093750001</v>
      </c>
      <c r="L12" s="1451">
        <f>SUM(L4:L10)</f>
        <v>606515.03337183245</v>
      </c>
      <c r="N12" s="1395">
        <f>SUM(N4:N10)</f>
        <v>174912.27</v>
      </c>
      <c r="O12" s="1395">
        <f>SUM(O4:O10)</f>
        <v>185407.0062</v>
      </c>
    </row>
    <row r="13" spans="1:15" x14ac:dyDescent="0.25">
      <c r="G13" t="s">
        <v>34</v>
      </c>
      <c r="L13" s="397">
        <f>SUM(B12:K12)</f>
        <v>606515.03337183234</v>
      </c>
    </row>
    <row r="14" spans="1:15" x14ac:dyDescent="0.25">
      <c r="L14" s="397"/>
    </row>
    <row r="15" spans="1:15" x14ac:dyDescent="0.25">
      <c r="K15" s="714"/>
    </row>
    <row r="16" spans="1:15" ht="21" x14ac:dyDescent="0.35">
      <c r="N16" s="1452" t="s">
        <v>554</v>
      </c>
      <c r="O16" s="1453">
        <f>L12-O12</f>
        <v>421108.02717183245</v>
      </c>
    </row>
  </sheetData>
  <mergeCells count="1">
    <mergeCell ref="A1:K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C484-F4EF-412F-8EC8-9951EDB66A9A}">
  <sheetPr>
    <pageSetUpPr fitToPage="1"/>
  </sheetPr>
  <dimension ref="A2:M106"/>
  <sheetViews>
    <sheetView workbookViewId="0">
      <selection activeCell="A2" sqref="A2:F29"/>
    </sheetView>
  </sheetViews>
  <sheetFormatPr defaultRowHeight="15" x14ac:dyDescent="0.25"/>
  <cols>
    <col min="1" max="1" width="16.42578125" bestFit="1" customWidth="1"/>
    <col min="2" max="2" width="19.140625" bestFit="1" customWidth="1"/>
    <col min="3" max="4" width="14.85546875" bestFit="1" customWidth="1"/>
    <col min="5" max="5" width="22.28515625" bestFit="1" customWidth="1"/>
    <col min="6" max="6" width="16.42578125" bestFit="1" customWidth="1"/>
    <col min="7" max="7" width="14.140625" bestFit="1" customWidth="1"/>
    <col min="8" max="8" width="16" bestFit="1" customWidth="1"/>
    <col min="9" max="9" width="16.42578125" bestFit="1" customWidth="1"/>
    <col min="10" max="10" width="26.28515625" bestFit="1" customWidth="1"/>
    <col min="11" max="11" width="14.5703125" bestFit="1" customWidth="1"/>
    <col min="12" max="12" width="11.7109375" bestFit="1" customWidth="1"/>
  </cols>
  <sheetData>
    <row r="2" spans="1:13" ht="23.25" x14ac:dyDescent="0.35">
      <c r="A2" s="1548" t="s">
        <v>555</v>
      </c>
      <c r="B2" s="1548"/>
      <c r="C2" s="1548"/>
      <c r="D2" s="1548"/>
      <c r="E2" s="1549"/>
      <c r="F2" s="1549"/>
      <c r="G2" s="1141"/>
    </row>
    <row r="3" spans="1:13" ht="24" x14ac:dyDescent="0.4">
      <c r="A3" s="635" t="s">
        <v>556</v>
      </c>
      <c r="B3" s="1131" t="s">
        <v>2</v>
      </c>
      <c r="C3" s="1131" t="s">
        <v>147</v>
      </c>
      <c r="D3" s="1139" t="s">
        <v>152</v>
      </c>
      <c r="E3" s="1022" t="s">
        <v>557</v>
      </c>
      <c r="F3" s="1130" t="s">
        <v>153</v>
      </c>
      <c r="H3" s="1138"/>
      <c r="M3" s="1129"/>
    </row>
    <row r="4" spans="1:13" ht="24" x14ac:dyDescent="0.4">
      <c r="A4" s="1128" t="s">
        <v>558</v>
      </c>
      <c r="B4" s="1127" t="s">
        <v>470</v>
      </c>
      <c r="C4" s="253" t="s">
        <v>165</v>
      </c>
      <c r="D4" s="1054">
        <f>'Total Order Sheet'!C3</f>
        <v>614</v>
      </c>
      <c r="E4" s="1125">
        <f>'Total Order Sheet'!D3</f>
        <v>4</v>
      </c>
      <c r="F4" s="626">
        <f>SUM(D4*E4)</f>
        <v>2456</v>
      </c>
      <c r="H4" s="253"/>
      <c r="M4" s="1129"/>
    </row>
    <row r="5" spans="1:13" ht="24" x14ac:dyDescent="0.4">
      <c r="A5" s="1126"/>
      <c r="B5" s="1127" t="s">
        <v>473</v>
      </c>
      <c r="C5" s="253" t="s">
        <v>165</v>
      </c>
      <c r="D5" s="1054">
        <f>'Total Order Sheet'!C4</f>
        <v>699</v>
      </c>
      <c r="E5" s="1125">
        <f>'Total Order Sheet'!D4</f>
        <v>5</v>
      </c>
      <c r="F5" s="626">
        <f t="shared" ref="F5:F27" si="0">SUM(D5*E5)</f>
        <v>3495</v>
      </c>
      <c r="H5" s="253"/>
      <c r="M5" s="1129"/>
    </row>
    <row r="6" spans="1:13" ht="24" x14ac:dyDescent="0.4">
      <c r="A6" s="255"/>
      <c r="B6" s="1127" t="s">
        <v>77</v>
      </c>
      <c r="C6" s="253" t="s">
        <v>165</v>
      </c>
      <c r="D6" s="1054">
        <f>'Total Order Sheet'!C5</f>
        <v>1309</v>
      </c>
      <c r="E6" s="1125">
        <f>'Total Order Sheet'!D5</f>
        <v>2</v>
      </c>
      <c r="F6" s="626">
        <f t="shared" si="0"/>
        <v>2618</v>
      </c>
      <c r="H6" s="253"/>
      <c r="M6" s="1129"/>
    </row>
    <row r="7" spans="1:13" ht="24" x14ac:dyDescent="0.4">
      <c r="A7" s="255"/>
      <c r="B7" s="1127" t="s">
        <v>21</v>
      </c>
      <c r="C7" s="253" t="s">
        <v>165</v>
      </c>
      <c r="D7" s="1054">
        <f>'Total Order Sheet'!C6</f>
        <v>1685</v>
      </c>
      <c r="E7" s="1125">
        <f>'Total Order Sheet'!D6</f>
        <v>13</v>
      </c>
      <c r="F7" s="626">
        <f t="shared" si="0"/>
        <v>21905</v>
      </c>
      <c r="H7" s="253"/>
      <c r="M7" s="1129"/>
    </row>
    <row r="8" spans="1:13" ht="24" x14ac:dyDescent="0.4">
      <c r="A8" s="1126"/>
      <c r="B8" s="1127" t="s">
        <v>111</v>
      </c>
      <c r="C8" s="253" t="s">
        <v>165</v>
      </c>
      <c r="D8" s="1054">
        <f>'Total Order Sheet'!C7</f>
        <v>210</v>
      </c>
      <c r="E8" s="1125">
        <f>'Total Order Sheet'!D7</f>
        <v>66</v>
      </c>
      <c r="F8" s="626">
        <f t="shared" si="0"/>
        <v>13860</v>
      </c>
      <c r="H8" s="253"/>
      <c r="M8" s="1129"/>
    </row>
    <row r="9" spans="1:13" ht="24" x14ac:dyDescent="0.4">
      <c r="A9" s="255"/>
      <c r="B9" s="1127" t="s">
        <v>74</v>
      </c>
      <c r="C9" s="253" t="s">
        <v>165</v>
      </c>
      <c r="D9" s="1054">
        <f>'Total Order Sheet'!C8</f>
        <v>2244</v>
      </c>
      <c r="E9" s="253">
        <f>'Total Order Sheet'!D8</f>
        <v>3</v>
      </c>
      <c r="F9" s="626">
        <f t="shared" si="0"/>
        <v>6732</v>
      </c>
      <c r="H9" s="253"/>
      <c r="M9" s="1129"/>
    </row>
    <row r="10" spans="1:13" x14ac:dyDescent="0.25">
      <c r="A10" s="255"/>
      <c r="B10" s="1127" t="s">
        <v>117</v>
      </c>
      <c r="C10" s="253" t="s">
        <v>165</v>
      </c>
      <c r="D10" s="1054">
        <f>'Total Order Sheet'!C9</f>
        <v>480</v>
      </c>
      <c r="E10">
        <f>'Total Order Sheet'!D9</f>
        <v>20</v>
      </c>
      <c r="F10" s="626">
        <f>SUM(D10*E10)</f>
        <v>9600</v>
      </c>
      <c r="H10" s="253"/>
    </row>
    <row r="11" spans="1:13" x14ac:dyDescent="0.25">
      <c r="A11" s="255"/>
      <c r="B11" s="1127" t="s">
        <v>14</v>
      </c>
      <c r="C11" s="253" t="s">
        <v>165</v>
      </c>
      <c r="D11" s="1054">
        <f>'Total Order Sheet'!C10</f>
        <v>3020</v>
      </c>
      <c r="E11" s="253">
        <f>'Total Order Sheet'!D10</f>
        <v>3</v>
      </c>
      <c r="F11" s="1228">
        <f>SUM(D11*E11)</f>
        <v>9060</v>
      </c>
      <c r="H11" s="253"/>
    </row>
    <row r="12" spans="1:13" ht="18.75" x14ac:dyDescent="0.3">
      <c r="A12" s="1128"/>
      <c r="B12" s="1127" t="s">
        <v>52</v>
      </c>
      <c r="C12" s="253" t="s">
        <v>165</v>
      </c>
      <c r="D12" s="1054">
        <f>'Total Order Sheet'!C11</f>
        <v>1282.5</v>
      </c>
      <c r="E12" s="253"/>
      <c r="F12" s="626">
        <f t="shared" si="0"/>
        <v>0</v>
      </c>
      <c r="H12" s="253"/>
    </row>
    <row r="13" spans="1:13" ht="18.75" x14ac:dyDescent="0.3">
      <c r="A13" s="1128"/>
      <c r="B13" s="1297" t="s">
        <v>259</v>
      </c>
      <c r="C13" s="1298" t="s">
        <v>165</v>
      </c>
      <c r="D13" s="1299">
        <f>'Total Order Sheet'!C12</f>
        <v>1931</v>
      </c>
      <c r="E13" s="1300">
        <f>'Total Order Sheet'!D12</f>
        <v>4</v>
      </c>
      <c r="F13" s="1301">
        <f>SUM(D13*E13)</f>
        <v>7724</v>
      </c>
    </row>
    <row r="14" spans="1:13" ht="18.75" x14ac:dyDescent="0.3">
      <c r="A14" s="1128" t="s">
        <v>34</v>
      </c>
      <c r="B14" s="1127" t="s">
        <v>124</v>
      </c>
      <c r="C14" s="253" t="s">
        <v>165</v>
      </c>
      <c r="D14" s="424">
        <f>'Total Order Sheet'!C13</f>
        <v>879</v>
      </c>
      <c r="F14" s="626">
        <f t="shared" si="0"/>
        <v>0</v>
      </c>
      <c r="H14" s="253"/>
    </row>
    <row r="15" spans="1:13" ht="18.75" x14ac:dyDescent="0.3">
      <c r="A15" s="1128"/>
      <c r="B15" s="1127" t="s">
        <v>82</v>
      </c>
      <c r="C15" s="253" t="s">
        <v>165</v>
      </c>
      <c r="D15" s="1054">
        <f>'Total Order Sheet'!C14</f>
        <v>6030</v>
      </c>
      <c r="E15" s="253">
        <f>'Total Order Sheet'!D14</f>
        <v>1</v>
      </c>
      <c r="F15" s="626">
        <f t="shared" si="0"/>
        <v>6030</v>
      </c>
      <c r="H15" s="253"/>
    </row>
    <row r="16" spans="1:13" ht="18.75" x14ac:dyDescent="0.3">
      <c r="A16" s="1128"/>
      <c r="B16" s="1127" t="s">
        <v>118</v>
      </c>
      <c r="C16" s="253" t="s">
        <v>165</v>
      </c>
      <c r="D16" s="1054">
        <f>'Total Order Sheet'!C15</f>
        <v>297</v>
      </c>
      <c r="E16" s="253">
        <f>'Total Order Sheet'!D15</f>
        <v>60</v>
      </c>
      <c r="F16" s="626">
        <f t="shared" si="0"/>
        <v>17820</v>
      </c>
      <c r="H16" s="253"/>
    </row>
    <row r="17" spans="1:11" ht="18.75" x14ac:dyDescent="0.3">
      <c r="A17" s="1128"/>
      <c r="B17" s="1127" t="s">
        <v>120</v>
      </c>
      <c r="C17" s="253" t="s">
        <v>165</v>
      </c>
      <c r="D17" s="1054">
        <f>'Total Order Sheet'!C16</f>
        <v>1738</v>
      </c>
      <c r="E17" s="253"/>
      <c r="F17" s="1228">
        <f t="shared" si="0"/>
        <v>0</v>
      </c>
      <c r="H17" s="253"/>
    </row>
    <row r="18" spans="1:11" ht="18.75" x14ac:dyDescent="0.3">
      <c r="A18" s="1128"/>
      <c r="B18" s="1127" t="s">
        <v>362</v>
      </c>
      <c r="C18" s="253" t="s">
        <v>165</v>
      </c>
      <c r="D18" s="1054">
        <f>'Total Order Sheet'!C17</f>
        <v>852</v>
      </c>
      <c r="E18" s="253">
        <f>'Total Order Sheet'!D17</f>
        <v>4</v>
      </c>
      <c r="F18" s="626">
        <f t="shared" si="0"/>
        <v>3408</v>
      </c>
      <c r="H18" s="253"/>
    </row>
    <row r="19" spans="1:11" ht="18.75" x14ac:dyDescent="0.3">
      <c r="A19" s="1128"/>
      <c r="B19" s="1127" t="s">
        <v>487</v>
      </c>
      <c r="C19" s="253" t="s">
        <v>165</v>
      </c>
      <c r="D19" s="1054">
        <f>'Total Order Sheet'!C18</f>
        <v>2500</v>
      </c>
      <c r="E19" s="253"/>
      <c r="F19" s="1228">
        <f t="shared" si="0"/>
        <v>0</v>
      </c>
      <c r="H19" s="253"/>
    </row>
    <row r="20" spans="1:11" ht="18.75" x14ac:dyDescent="0.3">
      <c r="A20" s="1128"/>
      <c r="B20" s="746" t="s">
        <v>522</v>
      </c>
      <c r="C20" s="253" t="s">
        <v>559</v>
      </c>
      <c r="D20" s="1054">
        <f>'Total Order Sheet'!C77</f>
        <v>450</v>
      </c>
      <c r="E20" s="1125">
        <f>'Total Order Sheet'!D77</f>
        <v>18</v>
      </c>
      <c r="F20" s="626">
        <f t="shared" si="0"/>
        <v>8100</v>
      </c>
      <c r="H20" s="253"/>
    </row>
    <row r="21" spans="1:11" ht="18.75" x14ac:dyDescent="0.3">
      <c r="A21" s="1128"/>
      <c r="B21" s="746" t="s">
        <v>283</v>
      </c>
      <c r="C21" s="253" t="s">
        <v>559</v>
      </c>
      <c r="D21" s="1054">
        <f>'Total Order Sheet'!C78</f>
        <v>922.5</v>
      </c>
      <c r="E21" s="253"/>
      <c r="F21" s="1228">
        <f t="shared" si="0"/>
        <v>0</v>
      </c>
      <c r="H21" s="253"/>
    </row>
    <row r="22" spans="1:11" ht="18.75" x14ac:dyDescent="0.3">
      <c r="A22" s="1128"/>
      <c r="B22" s="746" t="s">
        <v>411</v>
      </c>
      <c r="C22" s="253" t="s">
        <v>559</v>
      </c>
      <c r="D22" s="1054">
        <f>'Total Order Sheet'!C79</f>
        <v>237.5</v>
      </c>
      <c r="E22" s="1125">
        <f>'Total Order Sheet'!D79</f>
        <v>10</v>
      </c>
      <c r="F22" s="626">
        <f t="shared" si="0"/>
        <v>2375</v>
      </c>
      <c r="H22" s="253"/>
    </row>
    <row r="23" spans="1:11" ht="18.75" x14ac:dyDescent="0.3">
      <c r="A23" s="1128"/>
      <c r="B23" s="253" t="s">
        <v>526</v>
      </c>
      <c r="C23" s="253" t="s">
        <v>345</v>
      </c>
      <c r="D23" s="1054">
        <f>'Total Order Sheet'!C84</f>
        <v>474.81</v>
      </c>
      <c r="E23" s="1125">
        <f>'Total Order Sheet'!D84</f>
        <v>20</v>
      </c>
      <c r="F23" s="626">
        <f t="shared" si="0"/>
        <v>9496.2000000000007</v>
      </c>
      <c r="H23" s="253"/>
    </row>
    <row r="24" spans="1:11" ht="18.75" x14ac:dyDescent="0.3">
      <c r="A24" s="1128"/>
      <c r="B24" s="253" t="s">
        <v>527</v>
      </c>
      <c r="C24" s="253" t="s">
        <v>345</v>
      </c>
      <c r="D24" s="1054">
        <f>'Total Order Sheet'!C85</f>
        <v>233</v>
      </c>
      <c r="E24" s="1125">
        <f>'Total Order Sheet'!D85</f>
        <v>20</v>
      </c>
      <c r="F24" s="626">
        <f t="shared" si="0"/>
        <v>4660</v>
      </c>
      <c r="H24" s="253"/>
    </row>
    <row r="25" spans="1:11" ht="18.75" x14ac:dyDescent="0.3">
      <c r="A25" s="1128"/>
      <c r="B25" t="s">
        <v>69</v>
      </c>
      <c r="C25" s="253" t="s">
        <v>171</v>
      </c>
      <c r="D25" s="1054">
        <f>'Total Order Sheet'!C90</f>
        <v>879</v>
      </c>
      <c r="E25" s="1125">
        <f>'Total Order Sheet'!D90</f>
        <v>8</v>
      </c>
      <c r="F25" s="626">
        <f t="shared" si="0"/>
        <v>7032</v>
      </c>
      <c r="H25" s="253"/>
    </row>
    <row r="26" spans="1:11" ht="18.75" x14ac:dyDescent="0.3">
      <c r="A26" s="1128"/>
      <c r="B26" t="s">
        <v>530</v>
      </c>
      <c r="C26" s="253" t="s">
        <v>171</v>
      </c>
      <c r="D26" s="1054"/>
      <c r="E26" s="253"/>
      <c r="F26" s="1228">
        <f t="shared" si="0"/>
        <v>0</v>
      </c>
      <c r="H26" s="253"/>
    </row>
    <row r="27" spans="1:11" ht="18.75" x14ac:dyDescent="0.3">
      <c r="A27" s="1128"/>
      <c r="B27" t="s">
        <v>35</v>
      </c>
      <c r="C27" s="253" t="s">
        <v>171</v>
      </c>
      <c r="D27" s="1054">
        <f>'Total Order Sheet'!C92</f>
        <v>643.63</v>
      </c>
      <c r="E27" s="253">
        <v>2</v>
      </c>
      <c r="F27" s="1228">
        <f t="shared" si="0"/>
        <v>1287.26</v>
      </c>
      <c r="K27" s="397"/>
    </row>
    <row r="28" spans="1:11" ht="18.75" x14ac:dyDescent="0.3">
      <c r="A28" s="627"/>
      <c r="B28" s="258" t="s">
        <v>384</v>
      </c>
      <c r="C28" s="269" t="s">
        <v>433</v>
      </c>
      <c r="D28" s="628">
        <f>'Total Order Sheet'!C107</f>
        <v>1100</v>
      </c>
      <c r="E28" s="1174">
        <f>'Total Order Sheet'!D107</f>
        <v>6</v>
      </c>
      <c r="F28" s="629">
        <f>SUM(D28*E28)</f>
        <v>6600</v>
      </c>
      <c r="G28" s="397"/>
    </row>
    <row r="29" spans="1:11" ht="18.75" x14ac:dyDescent="0.3">
      <c r="A29" s="630"/>
      <c r="B29" s="99"/>
      <c r="C29" s="99"/>
      <c r="D29" s="99"/>
      <c r="E29" s="633" t="s">
        <v>538</v>
      </c>
      <c r="F29" s="634">
        <f>SUM(F4:F28)</f>
        <v>144258.46000000002</v>
      </c>
      <c r="H29" t="s">
        <v>34</v>
      </c>
    </row>
    <row r="31" spans="1:11" ht="15.75" x14ac:dyDescent="0.25">
      <c r="G31" s="1138"/>
    </row>
    <row r="32" spans="1:11" ht="18.75" x14ac:dyDescent="0.3">
      <c r="A32" s="641" t="s">
        <v>176</v>
      </c>
      <c r="B32" s="642" t="s">
        <v>2</v>
      </c>
      <c r="C32" s="642" t="s">
        <v>147</v>
      </c>
      <c r="D32" s="1024" t="s">
        <v>152</v>
      </c>
      <c r="E32" s="640" t="s">
        <v>557</v>
      </c>
      <c r="F32" s="1180" t="s">
        <v>153</v>
      </c>
    </row>
    <row r="33" spans="1:13" ht="18.75" x14ac:dyDescent="0.3">
      <c r="A33" s="624" t="s">
        <v>560</v>
      </c>
      <c r="B33" t="s">
        <v>496</v>
      </c>
      <c r="C33" s="1181" t="s">
        <v>341</v>
      </c>
      <c r="D33" s="1143">
        <f>'Total Order Sheet'!C25</f>
        <v>384.56</v>
      </c>
      <c r="E33" s="1183">
        <f>'Total Order Sheet'!D25</f>
        <v>61</v>
      </c>
      <c r="F33" s="1231">
        <f>D33*E33</f>
        <v>23458.16</v>
      </c>
      <c r="M33" s="543"/>
    </row>
    <row r="34" spans="1:13" ht="15.75" x14ac:dyDescent="0.25">
      <c r="A34" s="255"/>
      <c r="B34" t="s">
        <v>233</v>
      </c>
      <c r="C34" s="1182" t="s">
        <v>341</v>
      </c>
      <c r="D34" s="1140">
        <f>'Total Order Sheet'!C26</f>
        <v>946.56</v>
      </c>
      <c r="E34" s="1178">
        <f>'Total Order Sheet'!D26</f>
        <v>3</v>
      </c>
      <c r="F34" s="1231">
        <f t="shared" ref="F34:F43" si="1">D34*E34</f>
        <v>2839.68</v>
      </c>
      <c r="L34" s="543"/>
    </row>
    <row r="35" spans="1:13" ht="18.75" x14ac:dyDescent="0.3">
      <c r="A35" s="631"/>
      <c r="B35" t="s">
        <v>240</v>
      </c>
      <c r="C35" s="1182" t="s">
        <v>341</v>
      </c>
      <c r="D35" s="1140">
        <f>'Total Order Sheet'!C27</f>
        <v>635</v>
      </c>
      <c r="E35" s="1178">
        <f>'Total Order Sheet'!D27</f>
        <v>8</v>
      </c>
      <c r="F35" s="1231">
        <f t="shared" si="1"/>
        <v>5080</v>
      </c>
      <c r="K35" s="543"/>
    </row>
    <row r="36" spans="1:13" ht="18.75" x14ac:dyDescent="0.3">
      <c r="A36" s="631"/>
      <c r="B36" t="s">
        <v>280</v>
      </c>
      <c r="C36" s="1182" t="s">
        <v>341</v>
      </c>
      <c r="D36" s="1140">
        <f>'Total Order Sheet'!C28</f>
        <v>1267</v>
      </c>
      <c r="E36" s="1178">
        <f>'Total Order Sheet'!D28</f>
        <v>11</v>
      </c>
      <c r="F36" s="1231">
        <f t="shared" si="1"/>
        <v>13937</v>
      </c>
    </row>
    <row r="37" spans="1:13" ht="15.75" x14ac:dyDescent="0.25">
      <c r="A37" s="255"/>
      <c r="B37" t="s">
        <v>88</v>
      </c>
      <c r="C37" s="1182" t="s">
        <v>341</v>
      </c>
      <c r="D37" s="1140">
        <f>'Total Order Sheet'!C29</f>
        <v>493</v>
      </c>
      <c r="E37" s="1179">
        <f>'Total Order Sheet'!D29</f>
        <v>0</v>
      </c>
      <c r="F37" s="1227">
        <f t="shared" si="1"/>
        <v>0</v>
      </c>
    </row>
    <row r="38" spans="1:13" ht="15.75" x14ac:dyDescent="0.25">
      <c r="A38" s="255"/>
      <c r="B38" t="s">
        <v>24</v>
      </c>
      <c r="C38" s="1182" t="s">
        <v>341</v>
      </c>
      <c r="D38" s="1140">
        <f>'Total Order Sheet'!C30</f>
        <v>190</v>
      </c>
      <c r="E38" s="1179">
        <f>'Total Order Sheet'!D30</f>
        <v>42</v>
      </c>
      <c r="F38" s="1231">
        <f t="shared" si="1"/>
        <v>7980</v>
      </c>
    </row>
    <row r="39" spans="1:13" ht="18.75" x14ac:dyDescent="0.3">
      <c r="A39" s="624"/>
      <c r="B39" t="s">
        <v>45</v>
      </c>
      <c r="C39" s="1182" t="s">
        <v>341</v>
      </c>
      <c r="D39" s="1140">
        <f>'Total Order Sheet'!C31</f>
        <v>981.35</v>
      </c>
      <c r="E39" s="1179">
        <f>'Total Order Sheet'!D31</f>
        <v>0</v>
      </c>
      <c r="F39" s="1227">
        <f t="shared" si="1"/>
        <v>0</v>
      </c>
    </row>
    <row r="40" spans="1:13" ht="18.75" x14ac:dyDescent="0.3">
      <c r="A40" s="624"/>
      <c r="B40" t="s">
        <v>16</v>
      </c>
      <c r="C40" s="1182" t="s">
        <v>341</v>
      </c>
      <c r="D40" s="1140">
        <f>'Total Order Sheet'!C32</f>
        <v>667.66</v>
      </c>
      <c r="E40" s="1178">
        <f>'Total Order Sheet'!D32</f>
        <v>19</v>
      </c>
      <c r="F40" s="1231">
        <f t="shared" si="1"/>
        <v>12685.539999999999</v>
      </c>
      <c r="L40" s="424"/>
    </row>
    <row r="41" spans="1:13" ht="18.75" x14ac:dyDescent="0.3">
      <c r="A41" s="624"/>
      <c r="B41" t="s">
        <v>64</v>
      </c>
      <c r="C41" s="1182" t="s">
        <v>341</v>
      </c>
      <c r="D41" s="1140">
        <f>'Total Order Sheet'!C33</f>
        <v>528</v>
      </c>
      <c r="E41" s="1178">
        <f>'Total Order Sheet'!D33</f>
        <v>20</v>
      </c>
      <c r="F41" s="1231">
        <f t="shared" si="1"/>
        <v>10560</v>
      </c>
    </row>
    <row r="42" spans="1:13" ht="18.75" x14ac:dyDescent="0.3">
      <c r="A42" s="624"/>
      <c r="B42" t="s">
        <v>247</v>
      </c>
      <c r="C42" s="1182" t="s">
        <v>341</v>
      </c>
      <c r="D42" s="1140">
        <f>'Total Order Sheet'!C34</f>
        <v>1865.42</v>
      </c>
      <c r="E42" s="1178">
        <f>'Total Order Sheet'!D34</f>
        <v>4</v>
      </c>
      <c r="F42" s="1231">
        <f t="shared" si="1"/>
        <v>7461.68</v>
      </c>
    </row>
    <row r="43" spans="1:13" ht="18.75" x14ac:dyDescent="0.3">
      <c r="A43" s="632"/>
      <c r="B43" s="258" t="s">
        <v>11</v>
      </c>
      <c r="C43" s="1197" t="s">
        <v>341</v>
      </c>
      <c r="D43" s="1198">
        <f>'Total Order Sheet'!C35</f>
        <v>129</v>
      </c>
      <c r="E43" s="1199">
        <f>'Total Order Sheet'!D35</f>
        <v>61</v>
      </c>
      <c r="F43" s="1232">
        <f t="shared" si="1"/>
        <v>7869</v>
      </c>
      <c r="G43" s="397"/>
    </row>
    <row r="44" spans="1:13" ht="18.75" x14ac:dyDescent="0.3">
      <c r="A44" s="630"/>
      <c r="D44" s="1054"/>
      <c r="E44" s="633" t="s">
        <v>538</v>
      </c>
      <c r="F44" s="634">
        <f>SUM(F33:F43)</f>
        <v>91871.06</v>
      </c>
    </row>
    <row r="45" spans="1:13" ht="18.75" x14ac:dyDescent="0.3">
      <c r="A45" s="630"/>
      <c r="D45" s="1054"/>
      <c r="E45" s="1195"/>
      <c r="F45" s="1194"/>
      <c r="L45" s="99"/>
    </row>
    <row r="46" spans="1:13" x14ac:dyDescent="0.25">
      <c r="K46" s="99"/>
    </row>
    <row r="47" spans="1:13" ht="18.75" x14ac:dyDescent="0.3">
      <c r="A47" s="635" t="s">
        <v>561</v>
      </c>
      <c r="B47" s="636" t="s">
        <v>2</v>
      </c>
      <c r="C47" s="623" t="s">
        <v>147</v>
      </c>
      <c r="D47" s="1186" t="s">
        <v>152</v>
      </c>
      <c r="E47" s="640" t="s">
        <v>107</v>
      </c>
      <c r="F47" s="1185" t="s">
        <v>153</v>
      </c>
    </row>
    <row r="48" spans="1:13" ht="18.75" x14ac:dyDescent="0.3">
      <c r="A48" s="624" t="s">
        <v>562</v>
      </c>
      <c r="B48" t="s">
        <v>114</v>
      </c>
      <c r="C48" s="99" t="s">
        <v>563</v>
      </c>
      <c r="D48" s="1187">
        <f>'Total Order Sheet'!C52</f>
        <v>135</v>
      </c>
      <c r="E48" s="643">
        <f>'Total Order Sheet'!D52</f>
        <v>23</v>
      </c>
      <c r="F48" s="425">
        <f>SUM(D48*E48)</f>
        <v>3105</v>
      </c>
    </row>
    <row r="49" spans="1:13" ht="15.75" x14ac:dyDescent="0.25">
      <c r="A49" s="1296"/>
      <c r="B49" t="s">
        <v>57</v>
      </c>
      <c r="C49" s="99" t="s">
        <v>563</v>
      </c>
      <c r="D49" s="1054">
        <f>'Total Order Sheet'!C53</f>
        <v>695</v>
      </c>
      <c r="E49" s="643">
        <f>'Total Order Sheet'!D53</f>
        <v>14</v>
      </c>
      <c r="F49" s="425">
        <f t="shared" ref="F49:F72" si="2">SUM(D49*E49)</f>
        <v>9730</v>
      </c>
      <c r="K49" s="424"/>
    </row>
    <row r="50" spans="1:13" ht="18.75" x14ac:dyDescent="0.3">
      <c r="A50" s="638"/>
      <c r="B50" t="s">
        <v>199</v>
      </c>
      <c r="C50" s="99" t="s">
        <v>563</v>
      </c>
      <c r="D50" s="625">
        <f>'Total Order Sheet'!C54</f>
        <v>74.88</v>
      </c>
      <c r="E50" s="643">
        <f>'Total Order Sheet'!D54</f>
        <v>67</v>
      </c>
      <c r="F50" s="425">
        <f t="shared" si="2"/>
        <v>5016.96</v>
      </c>
      <c r="K50" s="424"/>
    </row>
    <row r="51" spans="1:13" ht="15.75" x14ac:dyDescent="0.25">
      <c r="A51" s="255"/>
      <c r="B51" t="s">
        <v>405</v>
      </c>
      <c r="C51" s="99" t="s">
        <v>563</v>
      </c>
      <c r="D51" s="625">
        <f>'Total Order Sheet'!C55</f>
        <v>140</v>
      </c>
      <c r="E51" s="643">
        <f>'Total Order Sheet'!D55</f>
        <v>37</v>
      </c>
      <c r="F51" s="425">
        <f t="shared" si="2"/>
        <v>5180</v>
      </c>
      <c r="K51" s="424"/>
    </row>
    <row r="52" spans="1:13" ht="15.75" x14ac:dyDescent="0.25">
      <c r="A52" s="255"/>
      <c r="B52" t="s">
        <v>198</v>
      </c>
      <c r="C52" s="99" t="s">
        <v>563</v>
      </c>
      <c r="D52" s="625">
        <f>'Total Order Sheet'!C56</f>
        <v>187.5</v>
      </c>
      <c r="E52" s="643">
        <f>'Total Order Sheet'!D56</f>
        <v>89</v>
      </c>
      <c r="F52" s="425">
        <f t="shared" si="2"/>
        <v>16687.5</v>
      </c>
    </row>
    <row r="53" spans="1:13" ht="15.75" x14ac:dyDescent="0.25">
      <c r="A53" s="255"/>
      <c r="B53" t="s">
        <v>206</v>
      </c>
      <c r="C53" s="99" t="s">
        <v>563</v>
      </c>
      <c r="D53" s="625">
        <f>'Total Order Sheet'!C57</f>
        <v>537</v>
      </c>
      <c r="E53" s="637">
        <f>'Total Order Sheet'!D57</f>
        <v>1</v>
      </c>
      <c r="F53" s="425">
        <f t="shared" si="2"/>
        <v>537</v>
      </c>
      <c r="G53" s="1177"/>
    </row>
    <row r="54" spans="1:13" ht="15.75" x14ac:dyDescent="0.25">
      <c r="A54" s="255"/>
      <c r="B54" t="s">
        <v>207</v>
      </c>
      <c r="C54" s="99" t="s">
        <v>563</v>
      </c>
      <c r="D54" s="625">
        <f>'Total Order Sheet'!C58</f>
        <v>410</v>
      </c>
      <c r="E54" s="637">
        <f>'Total Order Sheet'!D58</f>
        <v>1</v>
      </c>
      <c r="F54" s="425">
        <f t="shared" si="2"/>
        <v>410</v>
      </c>
      <c r="G54" s="1177"/>
    </row>
    <row r="55" spans="1:13" ht="15.75" x14ac:dyDescent="0.25">
      <c r="A55" s="255"/>
      <c r="B55" t="s">
        <v>197</v>
      </c>
      <c r="C55" s="253" t="s">
        <v>563</v>
      </c>
      <c r="D55" s="625">
        <f>'Total Order Sheet'!C59</f>
        <v>245</v>
      </c>
      <c r="E55" s="643">
        <f>'Total Order Sheet'!D59</f>
        <v>31</v>
      </c>
      <c r="F55" s="425">
        <f t="shared" si="2"/>
        <v>7595</v>
      </c>
      <c r="G55" s="253"/>
    </row>
    <row r="56" spans="1:13" ht="15.75" x14ac:dyDescent="0.25">
      <c r="A56" s="255"/>
      <c r="B56" t="s">
        <v>220</v>
      </c>
      <c r="C56" s="253" t="s">
        <v>563</v>
      </c>
      <c r="D56" s="625">
        <f>'Total Order Sheet'!C60</f>
        <v>48</v>
      </c>
      <c r="E56" s="643">
        <f>'Total Order Sheet'!D60</f>
        <v>1</v>
      </c>
      <c r="F56" s="425">
        <f t="shared" si="2"/>
        <v>48</v>
      </c>
      <c r="G56" s="253"/>
    </row>
    <row r="57" spans="1:13" ht="18.75" x14ac:dyDescent="0.3">
      <c r="A57" s="624"/>
      <c r="B57" t="s">
        <v>211</v>
      </c>
      <c r="C57" s="253" t="s">
        <v>563</v>
      </c>
      <c r="D57" s="625">
        <f>'Total Order Sheet'!C61</f>
        <v>325</v>
      </c>
      <c r="E57" s="643">
        <f>'Total Order Sheet'!D61</f>
        <v>5</v>
      </c>
      <c r="F57" s="425">
        <f t="shared" si="2"/>
        <v>1625</v>
      </c>
      <c r="G57" s="99"/>
      <c r="H57" t="s">
        <v>564</v>
      </c>
      <c r="I57" t="s">
        <v>34</v>
      </c>
    </row>
    <row r="58" spans="1:13" ht="18.75" x14ac:dyDescent="0.3">
      <c r="A58" s="624"/>
      <c r="B58" t="s">
        <v>370</v>
      </c>
      <c r="C58" s="253" t="s">
        <v>563</v>
      </c>
      <c r="D58" s="625">
        <f>'Total Order Sheet'!C62</f>
        <v>180</v>
      </c>
      <c r="E58" s="643">
        <f>'Total Order Sheet'!D62</f>
        <v>44</v>
      </c>
      <c r="F58" s="425">
        <f t="shared" si="2"/>
        <v>7920</v>
      </c>
      <c r="G58" s="253"/>
    </row>
    <row r="59" spans="1:13" ht="18.75" x14ac:dyDescent="0.3">
      <c r="A59" s="624"/>
      <c r="B59" t="s">
        <v>196</v>
      </c>
      <c r="C59" s="253" t="s">
        <v>563</v>
      </c>
      <c r="D59" s="625">
        <f>'Total Order Sheet'!C64</f>
        <v>280</v>
      </c>
      <c r="E59" s="643">
        <f>'Total Order Sheet'!D64</f>
        <v>9</v>
      </c>
      <c r="F59" s="425">
        <f t="shared" si="2"/>
        <v>2520</v>
      </c>
      <c r="G59" s="99"/>
      <c r="J59" s="424"/>
      <c r="M59" s="639"/>
    </row>
    <row r="60" spans="1:13" ht="18.75" x14ac:dyDescent="0.3">
      <c r="A60" s="1128"/>
      <c r="B60" t="s">
        <v>360</v>
      </c>
      <c r="C60" s="253" t="s">
        <v>563</v>
      </c>
      <c r="D60" s="1054">
        <f>'Total Order Sheet'!C63</f>
        <v>350</v>
      </c>
      <c r="E60" s="1307">
        <f>'Total Order Sheet'!D63</f>
        <v>11</v>
      </c>
      <c r="F60" s="425">
        <f>SUM(D60*E60)</f>
        <v>3850</v>
      </c>
      <c r="G60" s="99"/>
    </row>
    <row r="61" spans="1:13" ht="18.75" x14ac:dyDescent="0.3">
      <c r="A61" s="624"/>
      <c r="B61" t="s">
        <v>84</v>
      </c>
      <c r="C61" s="99" t="s">
        <v>565</v>
      </c>
      <c r="D61" s="625">
        <f>'Total Order Sheet'!C69</f>
        <v>295</v>
      </c>
      <c r="E61" s="643">
        <f>'Total Order Sheet'!D69</f>
        <v>19</v>
      </c>
      <c r="F61" s="425">
        <f t="shared" si="2"/>
        <v>5605</v>
      </c>
      <c r="G61" s="99"/>
    </row>
    <row r="62" spans="1:13" ht="18.75" x14ac:dyDescent="0.3">
      <c r="A62" s="624"/>
      <c r="B62" t="s">
        <v>86</v>
      </c>
      <c r="C62" s="99" t="s">
        <v>565</v>
      </c>
      <c r="D62" s="625">
        <f>'Total Order Sheet'!C70</f>
        <v>273.83999999999997</v>
      </c>
      <c r="E62" s="643">
        <f>'Total Order Sheet'!D70</f>
        <v>0</v>
      </c>
      <c r="F62" s="425">
        <f t="shared" si="2"/>
        <v>0</v>
      </c>
      <c r="G62" s="99"/>
      <c r="J62" t="s">
        <v>34</v>
      </c>
      <c r="L62" s="639"/>
      <c r="M62" s="639"/>
    </row>
    <row r="63" spans="1:13" ht="18.75" x14ac:dyDescent="0.3">
      <c r="A63" s="624"/>
      <c r="B63" t="s">
        <v>50</v>
      </c>
      <c r="C63" s="99" t="s">
        <v>565</v>
      </c>
      <c r="D63" s="625">
        <f>'Total Order Sheet'!C71</f>
        <v>760.25</v>
      </c>
      <c r="E63" s="637">
        <f>'Total Order Sheet'!D71</f>
        <v>6</v>
      </c>
      <c r="F63" s="425">
        <f t="shared" si="2"/>
        <v>4561.5</v>
      </c>
      <c r="G63" s="99"/>
      <c r="K63" s="639"/>
    </row>
    <row r="64" spans="1:13" ht="18.75" x14ac:dyDescent="0.3">
      <c r="A64" s="624"/>
      <c r="B64" t="s">
        <v>129</v>
      </c>
      <c r="C64" s="99" t="s">
        <v>565</v>
      </c>
      <c r="D64" s="625">
        <f>'Total Order Sheet'!C72</f>
        <v>549.5</v>
      </c>
      <c r="E64" s="637">
        <f>'Total Order Sheet'!D72</f>
        <v>10</v>
      </c>
      <c r="F64" s="425">
        <f t="shared" si="2"/>
        <v>5495</v>
      </c>
      <c r="G64" s="99"/>
      <c r="K64" s="639"/>
      <c r="L64" s="639"/>
    </row>
    <row r="65" spans="1:11" ht="18.75" x14ac:dyDescent="0.3">
      <c r="A65" s="624"/>
      <c r="B65" t="s">
        <v>504</v>
      </c>
      <c r="C65" s="1184" t="s">
        <v>166</v>
      </c>
      <c r="D65" s="1140">
        <f>'Total Order Sheet'!C40</f>
        <v>577.20000000000005</v>
      </c>
      <c r="E65" s="1178">
        <f>'Total Order Sheet'!D40</f>
        <v>9</v>
      </c>
      <c r="F65" s="425">
        <f t="shared" si="2"/>
        <v>5194.8</v>
      </c>
      <c r="G65" s="99"/>
      <c r="K65" s="639"/>
    </row>
    <row r="66" spans="1:11" ht="15.75" x14ac:dyDescent="0.25">
      <c r="A66" s="255"/>
      <c r="B66" t="s">
        <v>505</v>
      </c>
      <c r="C66" s="1184" t="s">
        <v>166</v>
      </c>
      <c r="D66" s="1054">
        <f>'Total Order Sheet'!C41</f>
        <v>5112</v>
      </c>
      <c r="E66" s="1178">
        <f>'Total Order Sheet'!D41</f>
        <v>1</v>
      </c>
      <c r="F66" s="425">
        <f t="shared" si="2"/>
        <v>5112</v>
      </c>
      <c r="G66" s="99"/>
    </row>
    <row r="67" spans="1:11" ht="15.75" x14ac:dyDescent="0.25">
      <c r="A67" s="255"/>
      <c r="B67" t="s">
        <v>507</v>
      </c>
      <c r="C67" s="1184" t="s">
        <v>166</v>
      </c>
      <c r="D67" s="1054">
        <f>'Total Order Sheet'!C42</f>
        <v>630</v>
      </c>
      <c r="E67" s="1178">
        <f>'Total Order Sheet'!D42</f>
        <v>0</v>
      </c>
      <c r="F67" s="425">
        <f t="shared" si="2"/>
        <v>0</v>
      </c>
      <c r="G67" s="99"/>
      <c r="J67" s="543"/>
      <c r="K67" s="639"/>
    </row>
    <row r="68" spans="1:11" ht="15.75" x14ac:dyDescent="0.25">
      <c r="A68" s="255"/>
      <c r="B68" t="s">
        <v>499</v>
      </c>
      <c r="C68" s="1184" t="s">
        <v>166</v>
      </c>
      <c r="D68" s="1054">
        <f>'Total Order Sheet'!C43</f>
        <v>2357.5</v>
      </c>
      <c r="E68" s="1178">
        <f>'Total Order Sheet'!D43</f>
        <v>0</v>
      </c>
      <c r="F68" s="425">
        <f t="shared" si="2"/>
        <v>0</v>
      </c>
      <c r="G68" s="99"/>
      <c r="K68" s="99"/>
    </row>
    <row r="69" spans="1:11" ht="15.75" x14ac:dyDescent="0.25">
      <c r="A69" s="255"/>
      <c r="B69" t="s">
        <v>509</v>
      </c>
      <c r="C69" s="1184" t="s">
        <v>166</v>
      </c>
      <c r="D69" s="1054">
        <f>'Total Order Sheet'!C44</f>
        <v>340</v>
      </c>
      <c r="E69" s="1179">
        <f>'Total Order Sheet'!D44</f>
        <v>0</v>
      </c>
      <c r="F69" s="425">
        <f t="shared" si="2"/>
        <v>0</v>
      </c>
      <c r="G69" s="397"/>
      <c r="K69" s="99"/>
    </row>
    <row r="70" spans="1:11" ht="15.75" x14ac:dyDescent="0.25">
      <c r="A70" s="255"/>
      <c r="B70" t="s">
        <v>90</v>
      </c>
      <c r="C70" s="1200" t="s">
        <v>166</v>
      </c>
      <c r="D70" s="1054">
        <f>'Total Order Sheet'!C45</f>
        <v>1801.2</v>
      </c>
      <c r="E70" s="1196">
        <f>'Total Order Sheet'!D45</f>
        <v>1</v>
      </c>
      <c r="F70" s="425">
        <f t="shared" si="2"/>
        <v>1801.2</v>
      </c>
      <c r="K70" s="99"/>
    </row>
    <row r="71" spans="1:11" ht="15.75" x14ac:dyDescent="0.25">
      <c r="A71" s="255"/>
      <c r="B71" t="s">
        <v>385</v>
      </c>
      <c r="C71" t="s">
        <v>166</v>
      </c>
      <c r="D71" s="1054">
        <f>'Total Order Sheet'!C46</f>
        <v>65</v>
      </c>
      <c r="E71" s="1195">
        <f>'Total Order Sheet'!D46</f>
        <v>7</v>
      </c>
      <c r="F71" s="425">
        <f t="shared" si="2"/>
        <v>455</v>
      </c>
      <c r="K71" s="99"/>
    </row>
    <row r="72" spans="1:11" ht="15.75" x14ac:dyDescent="0.25">
      <c r="A72" s="257"/>
      <c r="B72" s="258" t="s">
        <v>239</v>
      </c>
      <c r="C72" s="258" t="s">
        <v>566</v>
      </c>
      <c r="D72" s="628">
        <f>'Total Order Sheet'!C106</f>
        <v>283.5</v>
      </c>
      <c r="E72" s="1201">
        <f>'Total Order Sheet'!D106</f>
        <v>13</v>
      </c>
      <c r="F72" s="441">
        <f t="shared" si="2"/>
        <v>3685.5</v>
      </c>
      <c r="K72" s="99"/>
    </row>
    <row r="73" spans="1:11" ht="18.75" x14ac:dyDescent="0.3">
      <c r="E73" s="633" t="s">
        <v>538</v>
      </c>
      <c r="F73" s="634">
        <f>SUM(F48:F72)</f>
        <v>96134.459999999992</v>
      </c>
      <c r="K73" s="99"/>
    </row>
    <row r="74" spans="1:11" x14ac:dyDescent="0.25">
      <c r="G74" s="424"/>
    </row>
    <row r="75" spans="1:11" ht="15.75" x14ac:dyDescent="0.25">
      <c r="A75" s="612" t="s">
        <v>567</v>
      </c>
      <c r="B75" s="1222" t="s">
        <v>2</v>
      </c>
      <c r="C75" s="1223" t="s">
        <v>147</v>
      </c>
      <c r="D75" s="1224" t="s">
        <v>152</v>
      </c>
      <c r="E75" s="1225" t="s">
        <v>107</v>
      </c>
      <c r="F75" s="1226" t="s">
        <v>153</v>
      </c>
    </row>
    <row r="76" spans="1:11" x14ac:dyDescent="0.25">
      <c r="A76" s="379" t="s">
        <v>568</v>
      </c>
      <c r="B76" s="375" t="s">
        <v>63</v>
      </c>
      <c r="C76" s="375" t="s">
        <v>569</v>
      </c>
      <c r="D76" s="464">
        <f>'Total Order Sheet'!C108</f>
        <v>2690</v>
      </c>
      <c r="E76" s="1221">
        <f>'Total Order Sheet'!D108</f>
        <v>2</v>
      </c>
      <c r="F76" s="465">
        <f>SUM(D76*E76)</f>
        <v>5380</v>
      </c>
    </row>
    <row r="77" spans="1:11" x14ac:dyDescent="0.25">
      <c r="A77" s="257"/>
      <c r="B77" s="258" t="s">
        <v>133</v>
      </c>
      <c r="C77" s="258" t="s">
        <v>569</v>
      </c>
      <c r="D77" s="440">
        <f>'Total Order Sheet'!C109</f>
        <v>2950</v>
      </c>
      <c r="E77" s="258">
        <f>'Total Order Sheet'!D109</f>
        <v>4</v>
      </c>
      <c r="F77" s="441">
        <f>SUM(D77*E77)</f>
        <v>11800</v>
      </c>
    </row>
    <row r="78" spans="1:11" ht="18.75" x14ac:dyDescent="0.3">
      <c r="E78" s="1229" t="s">
        <v>538</v>
      </c>
      <c r="F78" s="1230">
        <f>SUM(F76:F77)</f>
        <v>17180</v>
      </c>
      <c r="J78" s="1175"/>
    </row>
    <row r="79" spans="1:11" ht="18.75" x14ac:dyDescent="0.3">
      <c r="E79" s="1219"/>
      <c r="F79" s="1220"/>
      <c r="G79" s="424"/>
    </row>
    <row r="80" spans="1:11" ht="15.75" x14ac:dyDescent="0.25">
      <c r="A80" s="606" t="s">
        <v>570</v>
      </c>
      <c r="B80" s="1389" t="s">
        <v>2</v>
      </c>
      <c r="C80" s="1131" t="s">
        <v>147</v>
      </c>
      <c r="D80" s="1139" t="s">
        <v>152</v>
      </c>
      <c r="E80" s="1390" t="s">
        <v>107</v>
      </c>
      <c r="F80" s="1185" t="s">
        <v>153</v>
      </c>
    </row>
    <row r="81" spans="1:6" x14ac:dyDescent="0.25">
      <c r="A81" s="255" t="s">
        <v>571</v>
      </c>
      <c r="B81" s="1391">
        <v>40065</v>
      </c>
      <c r="C81" t="s">
        <v>570</v>
      </c>
      <c r="D81" s="424">
        <v>1353</v>
      </c>
      <c r="E81">
        <v>5</v>
      </c>
      <c r="F81" s="425">
        <f>SUM(E81*D81)</f>
        <v>6765</v>
      </c>
    </row>
    <row r="82" spans="1:6" x14ac:dyDescent="0.25">
      <c r="A82" s="257"/>
      <c r="B82" s="258" t="s">
        <v>572</v>
      </c>
      <c r="C82" s="258" t="s">
        <v>570</v>
      </c>
      <c r="D82" s="440">
        <v>15.75</v>
      </c>
      <c r="E82" s="258">
        <v>500</v>
      </c>
      <c r="F82" s="441">
        <f>SUM(E82*D82)</f>
        <v>7875</v>
      </c>
    </row>
    <row r="83" spans="1:6" ht="18.75" x14ac:dyDescent="0.3">
      <c r="E83" s="1229" t="s">
        <v>538</v>
      </c>
      <c r="F83" s="1230">
        <f>SUM(F81:F82)</f>
        <v>14640</v>
      </c>
    </row>
    <row r="86" spans="1:6" x14ac:dyDescent="0.25">
      <c r="E86" s="379" t="s">
        <v>354</v>
      </c>
      <c r="F86" s="465">
        <f>F78+F73+F44+F29+F83</f>
        <v>364083.98</v>
      </c>
    </row>
    <row r="87" spans="1:6" x14ac:dyDescent="0.25">
      <c r="E87" s="257" t="s">
        <v>573</v>
      </c>
      <c r="F87" s="441">
        <f>SUM(F86*0.06)</f>
        <v>21845.038799999998</v>
      </c>
    </row>
    <row r="88" spans="1:6" ht="18.75" x14ac:dyDescent="0.3">
      <c r="E88" s="1229" t="s">
        <v>538</v>
      </c>
      <c r="F88" s="1233">
        <f>SUM(F86+F87)</f>
        <v>385929.01879999996</v>
      </c>
    </row>
    <row r="89" spans="1:6" x14ac:dyDescent="0.25">
      <c r="F89" s="424"/>
    </row>
    <row r="100" spans="1:10" x14ac:dyDescent="0.25">
      <c r="J100" s="99"/>
    </row>
    <row r="101" spans="1:10" x14ac:dyDescent="0.25">
      <c r="J101" s="99"/>
    </row>
    <row r="102" spans="1:10" ht="18.75" x14ac:dyDescent="0.3">
      <c r="A102" s="1217"/>
      <c r="B102" s="1177"/>
      <c r="C102" s="1177"/>
      <c r="D102" s="1177"/>
      <c r="E102" s="1176"/>
      <c r="F102" s="1177"/>
      <c r="J102" s="99"/>
    </row>
    <row r="103" spans="1:10" x14ac:dyDescent="0.25">
      <c r="A103" s="99"/>
      <c r="B103" s="99"/>
      <c r="C103" s="99"/>
      <c r="D103" s="1218"/>
      <c r="E103" s="99"/>
      <c r="F103" s="99"/>
      <c r="J103" s="99"/>
    </row>
    <row r="104" spans="1:10" x14ac:dyDescent="0.25">
      <c r="A104" s="99"/>
      <c r="D104" s="1218"/>
      <c r="E104" s="99"/>
      <c r="F104" s="99"/>
      <c r="J104" s="99"/>
    </row>
    <row r="105" spans="1:10" x14ac:dyDescent="0.25">
      <c r="A105" s="99"/>
      <c r="B105" s="99"/>
      <c r="C105" s="99"/>
      <c r="D105" s="1218"/>
      <c r="E105" s="99"/>
      <c r="F105" s="99"/>
      <c r="J105" s="99"/>
    </row>
    <row r="106" spans="1:10" x14ac:dyDescent="0.25">
      <c r="F106" s="99"/>
    </row>
  </sheetData>
  <mergeCells count="1">
    <mergeCell ref="A2:F2"/>
  </mergeCells>
  <pageMargins left="0.7" right="0.7" top="0.75" bottom="0.75" header="0.3" footer="0.3"/>
  <pageSetup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E4D9-40C5-4585-9D6B-49DA6E563E6C}">
  <dimension ref="B2:I12"/>
  <sheetViews>
    <sheetView workbookViewId="0">
      <selection activeCell="D10" sqref="D10"/>
    </sheetView>
  </sheetViews>
  <sheetFormatPr defaultRowHeight="15" x14ac:dyDescent="0.25"/>
  <cols>
    <col min="5" max="5" width="20.7109375" customWidth="1"/>
    <col min="6" max="6" width="21.28515625" customWidth="1"/>
    <col min="7" max="8" width="22.140625" customWidth="1"/>
    <col min="9" max="9" width="24.28515625" customWidth="1"/>
    <col min="10" max="14" width="11.5703125" bestFit="1" customWidth="1"/>
  </cols>
  <sheetData>
    <row r="2" spans="2:9" ht="24" x14ac:dyDescent="0.4">
      <c r="B2" s="1513" t="s">
        <v>574</v>
      </c>
      <c r="C2" s="1514"/>
      <c r="D2" s="1514"/>
      <c r="E2" s="1514"/>
      <c r="F2" s="1514"/>
      <c r="G2" s="375"/>
      <c r="H2" s="375"/>
      <c r="I2" s="387"/>
    </row>
    <row r="3" spans="2:9" ht="15.75" x14ac:dyDescent="0.25">
      <c r="B3" s="1552" t="s">
        <v>575</v>
      </c>
      <c r="C3" s="1553"/>
      <c r="D3" s="380" t="s">
        <v>576</v>
      </c>
      <c r="E3" s="380" t="s">
        <v>577</v>
      </c>
      <c r="F3" s="380" t="s">
        <v>578</v>
      </c>
      <c r="G3" s="380" t="s">
        <v>579</v>
      </c>
      <c r="H3" s="380" t="s">
        <v>580</v>
      </c>
      <c r="I3" s="380" t="s">
        <v>581</v>
      </c>
    </row>
    <row r="4" spans="2:9" x14ac:dyDescent="0.25">
      <c r="B4" s="1550" t="s">
        <v>582</v>
      </c>
      <c r="C4" s="1551"/>
      <c r="D4" s="1515"/>
      <c r="E4" s="256" t="s">
        <v>583</v>
      </c>
      <c r="F4" s="256" t="s">
        <v>584</v>
      </c>
      <c r="G4" s="256" t="s">
        <v>585</v>
      </c>
      <c r="H4" s="256" t="s">
        <v>586</v>
      </c>
      <c r="I4" s="256"/>
    </row>
    <row r="5" spans="2:9" x14ac:dyDescent="0.25">
      <c r="B5" s="255"/>
      <c r="C5" s="256"/>
      <c r="D5" s="1515"/>
      <c r="E5" s="256"/>
      <c r="F5" s="256" t="s">
        <v>587</v>
      </c>
      <c r="G5" s="256" t="s">
        <v>588</v>
      </c>
      <c r="H5" s="256"/>
      <c r="I5" s="256"/>
    </row>
    <row r="6" spans="2:9" x14ac:dyDescent="0.25">
      <c r="B6" s="255"/>
      <c r="D6" s="1516"/>
      <c r="E6" s="256"/>
      <c r="F6" s="256"/>
      <c r="G6" s="256" t="s">
        <v>589</v>
      </c>
      <c r="H6" s="256"/>
      <c r="I6" s="256"/>
    </row>
    <row r="7" spans="2:9" x14ac:dyDescent="0.25">
      <c r="B7" s="1554" t="s">
        <v>590</v>
      </c>
      <c r="C7" s="1555"/>
      <c r="D7" s="1517"/>
      <c r="E7" s="387" t="s">
        <v>591</v>
      </c>
      <c r="F7" s="387"/>
      <c r="G7" s="387"/>
      <c r="H7" s="387"/>
      <c r="I7" s="387"/>
    </row>
    <row r="8" spans="2:9" x14ac:dyDescent="0.25">
      <c r="B8" s="255"/>
      <c r="D8" s="1516"/>
      <c r="E8" s="256" t="s">
        <v>592</v>
      </c>
      <c r="F8" s="256"/>
      <c r="G8" s="256"/>
      <c r="H8" s="256"/>
      <c r="I8" s="256"/>
    </row>
    <row r="9" spans="2:9" x14ac:dyDescent="0.25">
      <c r="B9" s="255"/>
      <c r="D9" s="1516"/>
      <c r="E9" s="256" t="s">
        <v>593</v>
      </c>
      <c r="F9" s="256"/>
      <c r="G9" s="256"/>
      <c r="H9" s="256"/>
      <c r="I9" s="256"/>
    </row>
    <row r="10" spans="2:9" x14ac:dyDescent="0.25">
      <c r="B10" s="1556" t="s">
        <v>594</v>
      </c>
      <c r="C10" s="1557"/>
      <c r="D10" s="1518"/>
      <c r="E10" s="460" t="s">
        <v>595</v>
      </c>
      <c r="F10" s="391"/>
      <c r="G10" s="460" t="s">
        <v>596</v>
      </c>
      <c r="H10" s="391"/>
      <c r="I10" s="380" t="s">
        <v>595</v>
      </c>
    </row>
    <row r="11" spans="2:9" x14ac:dyDescent="0.25">
      <c r="C11" s="543"/>
    </row>
    <row r="12" spans="2:9" x14ac:dyDescent="0.25">
      <c r="C12" s="543"/>
    </row>
  </sheetData>
  <mergeCells count="4">
    <mergeCell ref="B4:C4"/>
    <mergeCell ref="B3:C3"/>
    <mergeCell ref="B7:C7"/>
    <mergeCell ref="B10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0F90-B2F2-40DF-8458-B2001A4FF4EF}">
  <sheetPr>
    <tabColor rgb="FF00B050"/>
  </sheetPr>
  <dimension ref="A1:O57"/>
  <sheetViews>
    <sheetView topLeftCell="A39" workbookViewId="0">
      <selection activeCell="F62" sqref="F62"/>
    </sheetView>
  </sheetViews>
  <sheetFormatPr defaultRowHeight="15" x14ac:dyDescent="0.25"/>
  <cols>
    <col min="1" max="1" width="26.42578125" bestFit="1" customWidth="1"/>
    <col min="2" max="2" width="11.85546875" bestFit="1" customWidth="1"/>
    <col min="3" max="3" width="11.140625" bestFit="1" customWidth="1"/>
    <col min="6" max="6" width="21.85546875" bestFit="1" customWidth="1"/>
    <col min="7" max="7" width="17.140625" bestFit="1" customWidth="1"/>
    <col min="8" max="9" width="13.7109375" bestFit="1" customWidth="1"/>
    <col min="10" max="10" width="18.140625" bestFit="1" customWidth="1"/>
    <col min="11" max="11" width="16.85546875" bestFit="1" customWidth="1"/>
    <col min="12" max="12" width="13.42578125" customWidth="1"/>
  </cols>
  <sheetData>
    <row r="1" spans="1:15" ht="23.25" x14ac:dyDescent="0.35">
      <c r="A1" s="1525" t="s">
        <v>98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7"/>
      <c r="L1" s="1528"/>
    </row>
    <row r="2" spans="1:15" ht="18.75" x14ac:dyDescent="0.3">
      <c r="A2" s="245" t="s">
        <v>99</v>
      </c>
      <c r="B2" s="246" t="s">
        <v>100</v>
      </c>
      <c r="C2" s="246" t="s">
        <v>101</v>
      </c>
      <c r="D2" s="247" t="s">
        <v>5</v>
      </c>
      <c r="E2" s="247" t="s">
        <v>102</v>
      </c>
      <c r="F2" s="247" t="s">
        <v>103</v>
      </c>
      <c r="G2" s="246" t="s">
        <v>104</v>
      </c>
      <c r="H2" s="246" t="s">
        <v>105</v>
      </c>
      <c r="I2" s="248" t="s">
        <v>106</v>
      </c>
      <c r="J2" s="380" t="s">
        <v>107</v>
      </c>
    </row>
    <row r="3" spans="1:15" x14ac:dyDescent="0.25">
      <c r="A3" s="249" t="s">
        <v>88</v>
      </c>
      <c r="B3" s="250">
        <f>COUNTIF('Fwy &amp; Tee Schedule  '!C4:C245, "Mirage")</f>
        <v>1</v>
      </c>
      <c r="C3" s="246">
        <v>2</v>
      </c>
      <c r="D3" s="99">
        <v>29</v>
      </c>
      <c r="E3" s="99">
        <v>1264</v>
      </c>
      <c r="F3" s="99">
        <f>ROUND(C3*E3/128/G3*B3,0)</f>
        <v>8</v>
      </c>
      <c r="G3" s="246">
        <v>2.5</v>
      </c>
      <c r="H3" s="246" t="s">
        <v>108</v>
      </c>
      <c r="I3" s="248">
        <v>8</v>
      </c>
      <c r="J3" s="381">
        <f>MAX(0,F3-I3)</f>
        <v>0</v>
      </c>
    </row>
    <row r="4" spans="1:15" x14ac:dyDescent="0.25">
      <c r="A4" s="249" t="s">
        <v>21</v>
      </c>
      <c r="B4" s="249">
        <f>COUNTIF('Fwy &amp; Tee Schedule  '!C1:C246, "Secure")</f>
        <v>4</v>
      </c>
      <c r="C4" s="99">
        <v>0.5</v>
      </c>
      <c r="D4" s="99">
        <v>29</v>
      </c>
      <c r="E4" s="99">
        <v>1264</v>
      </c>
      <c r="F4" s="99">
        <f>ROUNDUP(C4*E4/128/G4*B4,0)</f>
        <v>8</v>
      </c>
      <c r="G4" s="99">
        <v>2.5</v>
      </c>
      <c r="H4" s="99" t="s">
        <v>108</v>
      </c>
      <c r="I4" s="251">
        <v>1</v>
      </c>
      <c r="J4" s="381">
        <f>SUM(F4-I4)</f>
        <v>7</v>
      </c>
    </row>
    <row r="5" spans="1:15" x14ac:dyDescent="0.25">
      <c r="A5" s="249" t="s">
        <v>24</v>
      </c>
      <c r="B5" s="249">
        <f>COUNTIF('Fwy &amp; Tee Schedule  '!C1:C247, "Chipco 26019")</f>
        <v>3</v>
      </c>
      <c r="C5" s="99">
        <v>4</v>
      </c>
      <c r="D5" s="99">
        <v>29</v>
      </c>
      <c r="E5" s="99">
        <v>1264</v>
      </c>
      <c r="F5" s="99">
        <f>ROUND(C5*E5/128/G5*B5,0)</f>
        <v>47</v>
      </c>
      <c r="G5" s="99">
        <v>2.5</v>
      </c>
      <c r="H5" s="99" t="s">
        <v>108</v>
      </c>
      <c r="I5" s="251">
        <v>5</v>
      </c>
      <c r="J5" s="381">
        <f>SUM(F5-I5)</f>
        <v>42</v>
      </c>
      <c r="K5" s="272" t="s">
        <v>109</v>
      </c>
    </row>
    <row r="6" spans="1:15" x14ac:dyDescent="0.25">
      <c r="A6" s="249" t="s">
        <v>45</v>
      </c>
      <c r="B6" s="249">
        <f>COUNTIF('Fwy &amp; Tee Schedule  '!C1:C248, "Tartan")</f>
        <v>1</v>
      </c>
      <c r="C6" s="99">
        <v>2</v>
      </c>
      <c r="D6" s="99">
        <v>29</v>
      </c>
      <c r="E6" s="99">
        <v>1264</v>
      </c>
      <c r="F6" s="99">
        <f>ROUND(C6*E6/128/G6*B6,0)</f>
        <v>8</v>
      </c>
      <c r="G6" s="99">
        <v>2.5</v>
      </c>
      <c r="H6" s="99" t="s">
        <v>108</v>
      </c>
      <c r="I6" s="251">
        <v>8</v>
      </c>
      <c r="J6" s="381">
        <f>MAX(0,F6-I6)</f>
        <v>0</v>
      </c>
    </row>
    <row r="7" spans="1:15" x14ac:dyDescent="0.25">
      <c r="A7" s="249" t="s">
        <v>59</v>
      </c>
      <c r="B7" s="249">
        <f>COUNTIF('Fwy &amp; Tee Schedule  '!C1:C249, "Honor")</f>
        <v>1</v>
      </c>
      <c r="C7" s="99">
        <v>1.1000000000000001</v>
      </c>
      <c r="D7" s="99">
        <v>29</v>
      </c>
      <c r="E7" s="99">
        <v>1264</v>
      </c>
      <c r="F7" s="99">
        <f>ROUND(C7*E7/16/G7*B7,0)</f>
        <v>2</v>
      </c>
      <c r="G7" s="99">
        <v>36</v>
      </c>
      <c r="H7" s="99" t="s">
        <v>110</v>
      </c>
      <c r="I7" s="273">
        <v>1</v>
      </c>
      <c r="J7" s="381">
        <f>SUM(F7-I7)</f>
        <v>1</v>
      </c>
    </row>
    <row r="8" spans="1:15" x14ac:dyDescent="0.25">
      <c r="A8" s="249" t="s">
        <v>111</v>
      </c>
      <c r="B8" s="249">
        <f>COUNTIF('Fwy &amp; Tee Schedule  '!C1:C250, "Daconil Weatherstik")</f>
        <v>7</v>
      </c>
      <c r="C8" s="99">
        <v>1.8</v>
      </c>
      <c r="D8" s="99">
        <v>29</v>
      </c>
      <c r="E8" s="99">
        <v>1264</v>
      </c>
      <c r="F8" s="99">
        <f>ROUNDUP(C8*E8/128/G8*B8,0)</f>
        <v>50</v>
      </c>
      <c r="G8" s="99">
        <v>2.5</v>
      </c>
      <c r="H8" s="99" t="s">
        <v>108</v>
      </c>
      <c r="I8" s="251">
        <v>4</v>
      </c>
      <c r="J8" s="381">
        <f>SUM(F8-I8)</f>
        <v>46</v>
      </c>
    </row>
    <row r="9" spans="1:15" x14ac:dyDescent="0.25">
      <c r="A9" s="249" t="s">
        <v>16</v>
      </c>
      <c r="B9" s="249">
        <f>COUNTIF('Fwy &amp; Tee Schedule  '!C2:C251, "Densicor")</f>
        <v>3</v>
      </c>
      <c r="C9" s="99">
        <v>8.5</v>
      </c>
      <c r="D9" s="99">
        <v>29</v>
      </c>
      <c r="E9" s="99">
        <v>1264</v>
      </c>
      <c r="F9" s="99">
        <f>ROUNDUP(C9*D9/G9*B9,0)</f>
        <v>15</v>
      </c>
      <c r="G9" s="99">
        <v>51</v>
      </c>
      <c r="H9" s="99" t="s">
        <v>112</v>
      </c>
      <c r="I9" s="251">
        <v>0</v>
      </c>
      <c r="J9" s="381">
        <f>SUM(F9-I9)</f>
        <v>15</v>
      </c>
      <c r="K9" t="s">
        <v>113</v>
      </c>
    </row>
    <row r="10" spans="1:15" x14ac:dyDescent="0.25">
      <c r="A10" s="249" t="s">
        <v>74</v>
      </c>
      <c r="B10" s="249">
        <f>COUNTIF('Fwy &amp; Tee Schedule  '!C1:C252, "Heritage WDG")</f>
        <v>2</v>
      </c>
      <c r="C10" s="99">
        <v>0.27</v>
      </c>
      <c r="D10" s="99">
        <v>29</v>
      </c>
      <c r="E10" s="99">
        <v>1264</v>
      </c>
      <c r="F10" s="99">
        <f>ROUNDUP(C10*E10/16/G10*B10,0)</f>
        <v>8</v>
      </c>
      <c r="G10" s="99">
        <v>6</v>
      </c>
      <c r="H10" s="99" t="s">
        <v>110</v>
      </c>
      <c r="I10" s="251">
        <v>5</v>
      </c>
      <c r="J10" s="381">
        <f>MAX(0,F10-I10)</f>
        <v>3</v>
      </c>
      <c r="O10" t="s">
        <v>34</v>
      </c>
    </row>
    <row r="11" spans="1:15" x14ac:dyDescent="0.25">
      <c r="A11" s="249" t="s">
        <v>114</v>
      </c>
      <c r="B11" s="249">
        <f>COUNTIF('Fwy &amp; Tee Schedule  '!C1:C253, "TM 4.5")</f>
        <v>1</v>
      </c>
      <c r="C11" s="99">
        <v>2</v>
      </c>
      <c r="D11" s="99">
        <v>29</v>
      </c>
      <c r="E11" s="99">
        <v>1264</v>
      </c>
      <c r="F11" s="99">
        <f>ROUNDUP(C11*E11/128/G11*B11,0)</f>
        <v>8</v>
      </c>
      <c r="G11" s="99">
        <v>2.5</v>
      </c>
      <c r="H11" s="99" t="s">
        <v>108</v>
      </c>
      <c r="I11" s="251">
        <v>8</v>
      </c>
      <c r="J11" s="381">
        <f>MAX(0,F11-I11)</f>
        <v>0</v>
      </c>
    </row>
    <row r="12" spans="1:15" x14ac:dyDescent="0.25">
      <c r="A12" s="249" t="s">
        <v>86</v>
      </c>
      <c r="B12" s="249">
        <f>COUNTIF('Fwy &amp; Tee Schedule  '!C1:C254, "Affirm WDG")</f>
        <v>1</v>
      </c>
      <c r="C12" s="99">
        <v>2.4</v>
      </c>
      <c r="D12" s="99">
        <v>29</v>
      </c>
      <c r="E12" s="99">
        <v>1264</v>
      </c>
      <c r="F12" s="99">
        <f>ROUNDUP(C12*D12/16/G12*B12,0)</f>
        <v>2</v>
      </c>
      <c r="G12" s="99">
        <v>2.4</v>
      </c>
      <c r="H12" s="99" t="s">
        <v>110</v>
      </c>
      <c r="I12" s="251">
        <v>10</v>
      </c>
      <c r="J12" s="381">
        <f>MAX(0,F12-I12)</f>
        <v>0</v>
      </c>
      <c r="K12" t="s">
        <v>115</v>
      </c>
    </row>
    <row r="13" spans="1:15" x14ac:dyDescent="0.25">
      <c r="A13" s="249" t="s">
        <v>116</v>
      </c>
      <c r="B13" s="249">
        <f>COUNTIF('Fwy &amp; Tee Schedule  '!C1:C255, "Lexicon")</f>
        <v>0</v>
      </c>
      <c r="C13" s="99">
        <v>0.47</v>
      </c>
      <c r="D13" s="99">
        <v>29</v>
      </c>
      <c r="E13" s="99">
        <v>1264</v>
      </c>
      <c r="F13" s="99">
        <f>ROUNDUP(C13*E13/G13*B13,0)</f>
        <v>0</v>
      </c>
      <c r="G13" s="99">
        <v>21</v>
      </c>
      <c r="H13" s="99" t="s">
        <v>112</v>
      </c>
      <c r="I13" s="251">
        <v>0</v>
      </c>
      <c r="J13" s="381">
        <f>MAX(0,F13-I13)</f>
        <v>0</v>
      </c>
    </row>
    <row r="14" spans="1:15" x14ac:dyDescent="0.25">
      <c r="A14" s="249" t="s">
        <v>117</v>
      </c>
      <c r="B14" s="249">
        <f>COUNTIF('Fwy &amp; Tee Schedule  '!C1:C256, "Instrata")</f>
        <v>1</v>
      </c>
      <c r="C14" s="99">
        <v>5</v>
      </c>
      <c r="D14" s="99">
        <v>29</v>
      </c>
      <c r="E14" s="99">
        <v>1264</v>
      </c>
      <c r="F14" s="99">
        <f>ROUNDUP(C14*E14/128/G14*B14,0)</f>
        <v>20</v>
      </c>
      <c r="G14" s="99">
        <v>2.5</v>
      </c>
      <c r="H14" s="99" t="s">
        <v>108</v>
      </c>
      <c r="I14" s="251">
        <v>0</v>
      </c>
      <c r="J14" s="381">
        <f>MAX(0,F14-I14)</f>
        <v>20</v>
      </c>
    </row>
    <row r="15" spans="1:15" x14ac:dyDescent="0.25">
      <c r="A15" s="252" t="s">
        <v>118</v>
      </c>
      <c r="B15" s="249">
        <f>COUNTIF('Fwy &amp; Tee Schedule  '!C1:C257, "Velista")</f>
        <v>2</v>
      </c>
      <c r="C15" s="99">
        <v>0.7</v>
      </c>
      <c r="D15" s="99">
        <v>29</v>
      </c>
      <c r="E15" s="99">
        <v>1264</v>
      </c>
      <c r="F15" s="253">
        <f>ROUND(C15*E15/G15*B15,0)</f>
        <v>80</v>
      </c>
      <c r="G15" s="99">
        <v>22</v>
      </c>
      <c r="H15" s="99" t="s">
        <v>119</v>
      </c>
      <c r="I15" s="251">
        <v>26</v>
      </c>
      <c r="J15" s="381">
        <f>SUM(F15-I15)</f>
        <v>54</v>
      </c>
    </row>
    <row r="16" spans="1:15" x14ac:dyDescent="0.25">
      <c r="A16" s="252" t="s">
        <v>120</v>
      </c>
      <c r="B16" s="249">
        <f>COUNTIF('Fwy &amp; Tee Schedule  '!C1:C258, "Posterity")</f>
        <v>0</v>
      </c>
      <c r="C16" s="99">
        <v>0.32</v>
      </c>
      <c r="D16" s="99">
        <v>29</v>
      </c>
      <c r="E16" s="99">
        <v>1264</v>
      </c>
      <c r="F16" s="99">
        <f>ROUND(C16*E16/G16*B16,0)</f>
        <v>0</v>
      </c>
      <c r="G16" s="99">
        <v>105</v>
      </c>
      <c r="H16" s="99" t="s">
        <v>119</v>
      </c>
      <c r="I16" s="251">
        <v>4</v>
      </c>
      <c r="J16" s="381">
        <f>MAX(0,F16-I16)</f>
        <v>0</v>
      </c>
    </row>
    <row r="17" spans="1:12" x14ac:dyDescent="0.25">
      <c r="A17" s="254" t="s">
        <v>84</v>
      </c>
      <c r="B17" s="249">
        <f>COUNTIF('Fwy &amp; Tee Schedule  '!C1:C259, "Protect DF")</f>
        <v>1</v>
      </c>
      <c r="C17">
        <v>6</v>
      </c>
      <c r="D17" s="99">
        <v>29</v>
      </c>
      <c r="E17" s="99">
        <v>1264</v>
      </c>
      <c r="F17">
        <f>ROUNDUP(C17*E17/16*B17/G17,0)</f>
        <v>14</v>
      </c>
      <c r="G17">
        <v>36</v>
      </c>
      <c r="H17" t="s">
        <v>121</v>
      </c>
      <c r="I17" s="256">
        <v>0</v>
      </c>
      <c r="J17" s="381">
        <f>SUM(F17-I17)</f>
        <v>14</v>
      </c>
    </row>
    <row r="18" spans="1:12" x14ac:dyDescent="0.25">
      <c r="A18" s="255" t="s">
        <v>82</v>
      </c>
      <c r="B18" s="249">
        <f>COUNTIF('Fwy &amp; Tee Schedule  '!C1:C260, "Subdue Maxx")</f>
        <v>1</v>
      </c>
      <c r="C18">
        <v>0.5</v>
      </c>
      <c r="D18" s="99">
        <v>29</v>
      </c>
      <c r="E18" s="99">
        <v>1264</v>
      </c>
      <c r="F18">
        <f>ROUNDUP(C18*E18/128*B18/G18,0)</f>
        <v>1</v>
      </c>
      <c r="G18">
        <v>10</v>
      </c>
      <c r="H18" t="s">
        <v>108</v>
      </c>
      <c r="I18" s="256">
        <v>0</v>
      </c>
      <c r="J18" s="381">
        <f>SUM(F18-I18)</f>
        <v>1</v>
      </c>
    </row>
    <row r="19" spans="1:12" x14ac:dyDescent="0.25">
      <c r="A19" s="257" t="s">
        <v>90</v>
      </c>
      <c r="B19" s="855">
        <f>COUNTIF('Fwy &amp; Tee Schedule  '!C1:C261, "Xzemplar")</f>
        <v>1</v>
      </c>
      <c r="C19" s="258">
        <v>0.26</v>
      </c>
      <c r="D19" s="265">
        <v>29</v>
      </c>
      <c r="E19" s="265">
        <v>1264</v>
      </c>
      <c r="F19" s="258">
        <f>ROUNDUP(C19*E19*B19/G19,0)</f>
        <v>3</v>
      </c>
      <c r="G19" s="258">
        <v>114</v>
      </c>
      <c r="H19" s="258" t="s">
        <v>119</v>
      </c>
      <c r="I19" s="259">
        <v>3</v>
      </c>
      <c r="J19" s="382">
        <f>SUM(F19-I19)</f>
        <v>0</v>
      </c>
    </row>
    <row r="21" spans="1:12" ht="18.75" x14ac:dyDescent="0.3">
      <c r="A21" s="245" t="s">
        <v>122</v>
      </c>
      <c r="B21" s="247" t="s">
        <v>100</v>
      </c>
      <c r="C21" s="260" t="s">
        <v>101</v>
      </c>
      <c r="D21" s="261" t="s">
        <v>5</v>
      </c>
      <c r="E21" s="247" t="s">
        <v>102</v>
      </c>
      <c r="F21" s="247" t="s">
        <v>103</v>
      </c>
      <c r="G21" s="247" t="s">
        <v>105</v>
      </c>
      <c r="H21" s="247" t="s">
        <v>104</v>
      </c>
      <c r="I21" s="247" t="s">
        <v>105</v>
      </c>
      <c r="J21" s="262" t="s">
        <v>106</v>
      </c>
      <c r="K21" s="262" t="s">
        <v>123</v>
      </c>
    </row>
    <row r="22" spans="1:12" x14ac:dyDescent="0.25">
      <c r="A22" s="263" t="s">
        <v>124</v>
      </c>
      <c r="B22" s="249">
        <f>COUNTIF('Fwy &amp; Tee Schedule  '!C1:C264, "Acelepryn")</f>
        <v>1</v>
      </c>
      <c r="C22" s="99">
        <v>0.37</v>
      </c>
      <c r="D22" s="99">
        <v>29</v>
      </c>
      <c r="E22" s="99">
        <v>1264</v>
      </c>
      <c r="F22" s="99">
        <f>ROUNDUP(C22*E22/128/H22*B22,0)</f>
        <v>8</v>
      </c>
      <c r="G22" s="99" t="s">
        <v>108</v>
      </c>
      <c r="H22" s="99">
        <v>0.5</v>
      </c>
      <c r="I22" s="99" t="s">
        <v>108</v>
      </c>
      <c r="J22" s="251">
        <v>8</v>
      </c>
      <c r="K22" s="251">
        <f>MAX(0,F22-J22)</f>
        <v>0</v>
      </c>
    </row>
    <row r="23" spans="1:12" x14ac:dyDescent="0.25">
      <c r="A23" s="263" t="s">
        <v>57</v>
      </c>
      <c r="B23" s="249">
        <f>COUNTIF('Fwy &amp; Tee Schedule  '!C1:C265, "suprado")</f>
        <v>1</v>
      </c>
      <c r="C23" s="99">
        <v>3</v>
      </c>
      <c r="D23" s="99">
        <v>29</v>
      </c>
      <c r="E23" s="99">
        <v>1264</v>
      </c>
      <c r="F23" s="99">
        <f>ROUND(C23*E23/128/H23*B23,0)</f>
        <v>12</v>
      </c>
      <c r="G23" s="99" t="s">
        <v>108</v>
      </c>
      <c r="H23" s="99">
        <v>2.5</v>
      </c>
      <c r="I23" s="99" t="s">
        <v>108</v>
      </c>
      <c r="J23" s="251">
        <v>3</v>
      </c>
      <c r="K23" s="251">
        <f>SUM(F23-J23)</f>
        <v>9</v>
      </c>
    </row>
    <row r="24" spans="1:12" x14ac:dyDescent="0.25">
      <c r="A24" s="263" t="s">
        <v>69</v>
      </c>
      <c r="B24" s="249">
        <f>COUNTIF('Fwy &amp; Tee Schedule  '!C1:C266, "Matchpoint")</f>
        <v>2</v>
      </c>
      <c r="C24" s="99">
        <v>16</v>
      </c>
      <c r="D24" s="99">
        <v>29</v>
      </c>
      <c r="E24" s="99">
        <v>1264</v>
      </c>
      <c r="F24" s="99">
        <f>ROUND(C24*D24/H24*B24,0)</f>
        <v>15</v>
      </c>
      <c r="G24" s="99" t="s">
        <v>112</v>
      </c>
      <c r="H24" s="99">
        <v>64</v>
      </c>
      <c r="I24" s="99" t="s">
        <v>112</v>
      </c>
      <c r="J24" s="251">
        <v>7</v>
      </c>
      <c r="K24" s="251">
        <f>MAX(0,F24-J24)</f>
        <v>8</v>
      </c>
    </row>
    <row r="25" spans="1:12" x14ac:dyDescent="0.25">
      <c r="A25" s="263" t="s">
        <v>77</v>
      </c>
      <c r="B25" s="249">
        <f>COUNTIF('Fwy &amp; Tee Schedule  '!C1:C267, "Ference")</f>
        <v>1</v>
      </c>
      <c r="C25" s="99">
        <v>0.28000000000000003</v>
      </c>
      <c r="D25" s="99">
        <v>29</v>
      </c>
      <c r="E25" s="99">
        <v>1264</v>
      </c>
      <c r="F25" s="99">
        <f>ROUND(C25*E25/H25*B25,0)</f>
        <v>4</v>
      </c>
      <c r="G25" s="99" t="s">
        <v>112</v>
      </c>
      <c r="H25" s="99">
        <v>96</v>
      </c>
      <c r="I25" s="99" t="s">
        <v>112</v>
      </c>
      <c r="J25" s="251">
        <v>4</v>
      </c>
      <c r="K25" s="251">
        <f>SUM(F25-J25)</f>
        <v>0</v>
      </c>
    </row>
    <row r="26" spans="1:12" x14ac:dyDescent="0.25">
      <c r="A26" s="263" t="s">
        <v>64</v>
      </c>
      <c r="B26" s="249">
        <f>COUNTIF('Fwy &amp; Tee Schedule  '!C1:C268, "Tetrino")</f>
        <v>2</v>
      </c>
      <c r="C26" s="99">
        <v>0.73499999999999999</v>
      </c>
      <c r="D26" s="99">
        <v>29</v>
      </c>
      <c r="E26" s="99">
        <v>1264</v>
      </c>
      <c r="F26" s="99">
        <f>ROUND(C26*E26/H26*B26,0)</f>
        <v>15</v>
      </c>
      <c r="G26" s="99" t="s">
        <v>108</v>
      </c>
      <c r="H26" s="99">
        <v>128</v>
      </c>
      <c r="I26" s="99" t="s">
        <v>119</v>
      </c>
      <c r="J26" s="251">
        <v>1</v>
      </c>
      <c r="K26" s="251">
        <f>SUM(F26-J26)</f>
        <v>14</v>
      </c>
      <c r="L26" t="s">
        <v>125</v>
      </c>
    </row>
    <row r="27" spans="1:12" x14ac:dyDescent="0.25">
      <c r="A27" s="264" t="s">
        <v>126</v>
      </c>
      <c r="B27" s="855">
        <f>COUNTIF('Fwy &amp; Tee Schedule  '!C1:C269, "Dylox")</f>
        <v>0</v>
      </c>
      <c r="C27" s="265">
        <v>5.5</v>
      </c>
      <c r="D27" s="265">
        <v>29</v>
      </c>
      <c r="E27" s="265">
        <v>1264</v>
      </c>
      <c r="F27" s="265">
        <f>ROUND(C27*E27/128/H27*B27,0)</f>
        <v>0</v>
      </c>
      <c r="G27" s="265" t="s">
        <v>108</v>
      </c>
      <c r="H27" s="265">
        <v>2.5</v>
      </c>
      <c r="I27" s="265" t="s">
        <v>108</v>
      </c>
      <c r="J27" s="266">
        <v>29</v>
      </c>
      <c r="K27" s="266">
        <f>MAX(0,F27-J27)</f>
        <v>0</v>
      </c>
    </row>
    <row r="28" spans="1:12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2" ht="18.75" x14ac:dyDescent="0.3">
      <c r="A29" s="267" t="s">
        <v>127</v>
      </c>
      <c r="B29" s="247" t="s">
        <v>100</v>
      </c>
      <c r="C29" s="247" t="s">
        <v>101</v>
      </c>
      <c r="D29" s="247" t="s">
        <v>5</v>
      </c>
      <c r="E29" s="247" t="s">
        <v>102</v>
      </c>
      <c r="F29" s="247" t="s">
        <v>103</v>
      </c>
      <c r="G29" s="247" t="s">
        <v>105</v>
      </c>
      <c r="H29" s="247" t="s">
        <v>104</v>
      </c>
      <c r="I29" s="247" t="s">
        <v>105</v>
      </c>
      <c r="J29" s="262" t="s">
        <v>106</v>
      </c>
      <c r="K29" s="262" t="s">
        <v>123</v>
      </c>
    </row>
    <row r="30" spans="1:12" x14ac:dyDescent="0.25">
      <c r="A30" s="263" t="s">
        <v>35</v>
      </c>
      <c r="B30" s="249">
        <f>COUNTIF('Fwy &amp; Tee Schedule  '!C1:C272, "Dimension 2EW")</f>
        <v>1</v>
      </c>
      <c r="C30" s="99">
        <v>16</v>
      </c>
      <c r="D30" s="99">
        <v>29</v>
      </c>
      <c r="E30" s="99">
        <v>1263</v>
      </c>
      <c r="F30" s="99">
        <f>ROUNDUP(C30*D30/128/H30*B30,0)</f>
        <v>2</v>
      </c>
      <c r="G30" s="99" t="s">
        <v>108</v>
      </c>
      <c r="H30" s="99">
        <v>2.5</v>
      </c>
      <c r="I30" s="99" t="s">
        <v>108</v>
      </c>
      <c r="J30" s="251">
        <v>6</v>
      </c>
      <c r="K30" s="251">
        <f>MAX(0,F30-J30,0)</f>
        <v>0</v>
      </c>
    </row>
    <row r="31" spans="1:12" x14ac:dyDescent="0.25">
      <c r="A31" s="263" t="s">
        <v>128</v>
      </c>
      <c r="B31" s="249">
        <f>COUNTIF('Fwy &amp; Tee Schedule  '!C1:C273, "Vision")</f>
        <v>10</v>
      </c>
      <c r="C31" s="99">
        <v>3.5</v>
      </c>
      <c r="D31" s="99">
        <v>29</v>
      </c>
      <c r="E31" s="99">
        <v>1263</v>
      </c>
      <c r="F31" s="99">
        <f>ROUND(C31*D31/128/H31*B31,0)</f>
        <v>3</v>
      </c>
      <c r="G31" s="99" t="s">
        <v>108</v>
      </c>
      <c r="H31" s="99">
        <v>2.5</v>
      </c>
      <c r="I31" s="99" t="s">
        <v>108</v>
      </c>
      <c r="J31" s="251">
        <v>1</v>
      </c>
      <c r="K31" s="251">
        <f>ROUND(F31-J31,0)</f>
        <v>2</v>
      </c>
    </row>
    <row r="32" spans="1:12" x14ac:dyDescent="0.25">
      <c r="A32" s="268" t="s">
        <v>129</v>
      </c>
      <c r="B32" s="855">
        <f>COUNTIF('Fwy &amp; Tee Schedule  '!C1:C274, "Velocity")</f>
        <v>8</v>
      </c>
      <c r="C32" s="265">
        <v>0.75</v>
      </c>
      <c r="D32" s="265">
        <v>26</v>
      </c>
      <c r="E32" s="265">
        <v>1132.56</v>
      </c>
      <c r="F32" s="265">
        <f>ROUND(C32*D32/H32*B32,0)</f>
        <v>10</v>
      </c>
      <c r="G32" s="265" t="s">
        <v>112</v>
      </c>
      <c r="H32" s="265">
        <v>16</v>
      </c>
      <c r="I32" s="265" t="s">
        <v>112</v>
      </c>
      <c r="J32" s="266">
        <v>2</v>
      </c>
      <c r="K32" s="266">
        <f>ROUND(F32-J32,0)</f>
        <v>8</v>
      </c>
    </row>
    <row r="33" spans="1:12" x14ac:dyDescent="0.2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2" ht="18.75" x14ac:dyDescent="0.3">
      <c r="A34" s="245" t="s">
        <v>130</v>
      </c>
      <c r="B34" s="247" t="s">
        <v>100</v>
      </c>
      <c r="C34" s="247" t="s">
        <v>101</v>
      </c>
      <c r="D34" s="247" t="s">
        <v>5</v>
      </c>
      <c r="E34" s="247" t="s">
        <v>102</v>
      </c>
      <c r="F34" s="247" t="s">
        <v>103</v>
      </c>
      <c r="G34" s="247" t="s">
        <v>105</v>
      </c>
      <c r="H34" s="247" t="s">
        <v>104</v>
      </c>
      <c r="I34" s="247" t="s">
        <v>105</v>
      </c>
      <c r="J34" s="262" t="s">
        <v>106</v>
      </c>
      <c r="K34" s="262" t="s">
        <v>123</v>
      </c>
    </row>
    <row r="35" spans="1:12" x14ac:dyDescent="0.25">
      <c r="A35" s="263" t="s">
        <v>14</v>
      </c>
      <c r="B35" s="249">
        <f>COUNTIF('Fwy &amp; Tee Schedule  '!C1:C277, "Primo Maxx")</f>
        <v>16</v>
      </c>
      <c r="C35" s="99">
        <v>6</v>
      </c>
      <c r="D35" s="99">
        <v>29</v>
      </c>
      <c r="E35" s="99">
        <v>1264</v>
      </c>
      <c r="F35" s="99">
        <f>C35*D35/128/H35*B35</f>
        <v>2.1749999999999998</v>
      </c>
      <c r="G35" s="99" t="s">
        <v>108</v>
      </c>
      <c r="H35" s="99">
        <v>10</v>
      </c>
      <c r="I35" s="99" t="s">
        <v>108</v>
      </c>
      <c r="J35" s="251">
        <v>0</v>
      </c>
      <c r="K35" s="251">
        <f>SUM(F35-J35)</f>
        <v>2.1749999999999998</v>
      </c>
    </row>
    <row r="36" spans="1:12" x14ac:dyDescent="0.25">
      <c r="A36" s="263" t="s">
        <v>52</v>
      </c>
      <c r="B36" s="249">
        <f>COUNTIF('Fwy &amp; Tee Schedule  '!C1:C278, "Trimmit 2SC")</f>
        <v>13</v>
      </c>
      <c r="C36" s="99">
        <v>6</v>
      </c>
      <c r="D36" s="99">
        <v>29</v>
      </c>
      <c r="E36" s="99">
        <v>1264</v>
      </c>
      <c r="F36" s="99">
        <f>ROUND(C36*D36/128/H36*B36,0)</f>
        <v>7</v>
      </c>
      <c r="G36" s="99" t="s">
        <v>108</v>
      </c>
      <c r="H36" s="99">
        <v>2.5</v>
      </c>
      <c r="I36" s="99" t="s">
        <v>108</v>
      </c>
      <c r="J36" s="251">
        <v>7</v>
      </c>
      <c r="K36" s="251">
        <f>MAX(0,F36-J36)</f>
        <v>0</v>
      </c>
    </row>
    <row r="37" spans="1:12" x14ac:dyDescent="0.25">
      <c r="A37" s="263" t="s">
        <v>11</v>
      </c>
      <c r="B37" s="249">
        <f>COUNTIF('Fwy &amp; Tee Schedule  '!C1:C300, "Proxy")</f>
        <v>3</v>
      </c>
      <c r="C37" s="99">
        <v>5</v>
      </c>
      <c r="D37" s="99">
        <v>26</v>
      </c>
      <c r="E37" s="99">
        <v>1132.56</v>
      </c>
      <c r="F37" s="99">
        <v>53</v>
      </c>
      <c r="G37" s="99" t="s">
        <v>108</v>
      </c>
      <c r="H37" s="99">
        <v>2.5</v>
      </c>
      <c r="I37" s="99" t="s">
        <v>108</v>
      </c>
      <c r="J37" s="251">
        <v>0</v>
      </c>
      <c r="K37" s="251">
        <f>MAX(0,F37-J37)</f>
        <v>53</v>
      </c>
    </row>
    <row r="38" spans="1:12" x14ac:dyDescent="0.25">
      <c r="A38" s="268" t="s">
        <v>50</v>
      </c>
      <c r="B38" s="855">
        <f>COUNTIF('Fwy &amp; Tee Schedule  '!C1:C279, "Anuew EZ")</f>
        <v>14</v>
      </c>
      <c r="C38" s="265">
        <v>9</v>
      </c>
      <c r="D38" s="265">
        <v>29</v>
      </c>
      <c r="E38" s="265">
        <v>1264</v>
      </c>
      <c r="F38" s="265">
        <f>ROUND(C38*D38/128/H38*B38,0)</f>
        <v>11</v>
      </c>
      <c r="G38" s="265" t="s">
        <v>108</v>
      </c>
      <c r="H38" s="265">
        <v>2.5</v>
      </c>
      <c r="I38" s="265" t="s">
        <v>108</v>
      </c>
      <c r="J38" s="266">
        <v>6</v>
      </c>
      <c r="K38" s="266">
        <f>SUM(F38-J38)</f>
        <v>5</v>
      </c>
    </row>
    <row r="39" spans="1:12" x14ac:dyDescent="0.2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</row>
    <row r="40" spans="1:12" ht="18.75" x14ac:dyDescent="0.3">
      <c r="A40" s="270" t="s">
        <v>131</v>
      </c>
      <c r="B40" s="247" t="s">
        <v>100</v>
      </c>
      <c r="C40" s="247" t="s">
        <v>101</v>
      </c>
      <c r="D40" s="247" t="s">
        <v>5</v>
      </c>
      <c r="E40" s="247" t="s">
        <v>102</v>
      </c>
      <c r="F40" s="247" t="s">
        <v>103</v>
      </c>
      <c r="G40" s="247" t="s">
        <v>105</v>
      </c>
      <c r="H40" s="247" t="s">
        <v>104</v>
      </c>
      <c r="I40" s="247" t="s">
        <v>105</v>
      </c>
      <c r="J40" s="262" t="s">
        <v>106</v>
      </c>
      <c r="K40" s="262" t="s">
        <v>123</v>
      </c>
    </row>
    <row r="41" spans="1:12" x14ac:dyDescent="0.25">
      <c r="A41" s="263" t="s">
        <v>32</v>
      </c>
      <c r="B41" s="249">
        <f>COUNTIF('Fwy &amp; Tee Schedule  '!C1:C282, "Excalibur")</f>
        <v>6</v>
      </c>
      <c r="C41" s="99">
        <v>4</v>
      </c>
      <c r="D41" s="99">
        <v>26</v>
      </c>
      <c r="E41" s="99">
        <f>D41*43.56</f>
        <v>1132.56</v>
      </c>
      <c r="F41" s="99">
        <f>ROUND(C41*E41/128/H41*B41,0)</f>
        <v>4</v>
      </c>
      <c r="G41" s="99" t="s">
        <v>108</v>
      </c>
      <c r="H41" s="99">
        <v>55</v>
      </c>
      <c r="I41" s="99" t="s">
        <v>108</v>
      </c>
      <c r="J41" s="251">
        <v>0</v>
      </c>
      <c r="K41" s="251">
        <f>ROUND(F41-J41,0)</f>
        <v>4</v>
      </c>
      <c r="L41" t="s">
        <v>132</v>
      </c>
    </row>
    <row r="42" spans="1:12" x14ac:dyDescent="0.25">
      <c r="A42" s="263" t="s">
        <v>63</v>
      </c>
      <c r="B42" s="249">
        <f>COUNTIF('Fwy &amp; Tee Schedule  '!C1:C283, "SMS 200")</f>
        <v>3</v>
      </c>
      <c r="C42" s="99">
        <v>0.5</v>
      </c>
      <c r="D42" s="99">
        <v>26</v>
      </c>
      <c r="E42" s="99">
        <v>1132.56</v>
      </c>
      <c r="F42" s="99">
        <f>ROUND(C42*E42/128/H42*B42,1)</f>
        <v>0.4</v>
      </c>
      <c r="G42" s="99" t="s">
        <v>108</v>
      </c>
      <c r="H42" s="99">
        <v>35</v>
      </c>
      <c r="I42" s="99" t="s">
        <v>108</v>
      </c>
      <c r="J42" s="251">
        <v>0</v>
      </c>
      <c r="K42" s="251">
        <f>ROUNDUP(F42-J411,0)</f>
        <v>1</v>
      </c>
    </row>
    <row r="43" spans="1:12" x14ac:dyDescent="0.25">
      <c r="A43" s="268" t="s">
        <v>133</v>
      </c>
      <c r="B43" s="269">
        <v>6</v>
      </c>
      <c r="C43" s="265">
        <v>4</v>
      </c>
      <c r="D43" s="265">
        <v>3</v>
      </c>
      <c r="E43" s="265">
        <f>D43*43.56</f>
        <v>130.68</v>
      </c>
      <c r="F43" s="265">
        <f>ROUND(C43*E43/128/H43*B43,0)</f>
        <v>1</v>
      </c>
      <c r="G43" s="265" t="s">
        <v>108</v>
      </c>
      <c r="H43" s="265">
        <v>35</v>
      </c>
      <c r="I43" s="265" t="s">
        <v>108</v>
      </c>
      <c r="J43" s="266">
        <v>0</v>
      </c>
      <c r="K43" s="266">
        <f>ROUNDUP(F43-J43,0)</f>
        <v>1</v>
      </c>
      <c r="L43" t="s">
        <v>134</v>
      </c>
    </row>
    <row r="44" spans="1:12" x14ac:dyDescent="0.25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</row>
    <row r="46" spans="1:12" ht="18.75" x14ac:dyDescent="0.3">
      <c r="A46" s="245" t="s">
        <v>135</v>
      </c>
      <c r="B46" s="247" t="s">
        <v>100</v>
      </c>
      <c r="C46" s="247" t="s">
        <v>101</v>
      </c>
      <c r="D46" s="247" t="s">
        <v>5</v>
      </c>
      <c r="E46" s="247" t="s">
        <v>102</v>
      </c>
      <c r="F46" s="247" t="s">
        <v>136</v>
      </c>
      <c r="G46" s="247" t="s">
        <v>105</v>
      </c>
      <c r="H46" s="247" t="s">
        <v>104</v>
      </c>
      <c r="I46" s="247" t="s">
        <v>105</v>
      </c>
      <c r="J46" s="247" t="s">
        <v>137</v>
      </c>
      <c r="K46" s="247" t="s">
        <v>106</v>
      </c>
      <c r="L46" s="262" t="s">
        <v>107</v>
      </c>
    </row>
    <row r="47" spans="1:12" x14ac:dyDescent="0.25">
      <c r="A47" s="263" t="s">
        <v>138</v>
      </c>
      <c r="B47" s="99">
        <f>COUNTIF('Fwy &amp; Tee Schedule  '!C1:C283, "Harrell's Calcium")</f>
        <v>18</v>
      </c>
      <c r="C47" s="99">
        <v>1.8</v>
      </c>
      <c r="D47" s="99">
        <v>29</v>
      </c>
      <c r="E47" s="99">
        <v>1264</v>
      </c>
      <c r="F47" s="99">
        <f>ROUNDUP(C47*E47/128*B47,0)</f>
        <v>320</v>
      </c>
      <c r="G47" s="99" t="s">
        <v>108</v>
      </c>
      <c r="H47" s="99">
        <v>2.5</v>
      </c>
      <c r="I47" s="99" t="s">
        <v>108</v>
      </c>
      <c r="J47" s="99">
        <f>ROUNDUP(F47/H47,0)</f>
        <v>128</v>
      </c>
      <c r="K47" s="99">
        <v>0</v>
      </c>
      <c r="L47" s="251">
        <f t="shared" ref="L47:L52" si="0">SUM(J47-K47)</f>
        <v>128</v>
      </c>
    </row>
    <row r="48" spans="1:12" x14ac:dyDescent="0.25">
      <c r="A48" s="263" t="s">
        <v>139</v>
      </c>
      <c r="B48" s="99">
        <f>COUNTIF('Fwy &amp; Tee Schedule  '!C2:C284, "Harrell's Stress Relefe")</f>
        <v>18</v>
      </c>
      <c r="C48" s="99">
        <v>1.8</v>
      </c>
      <c r="D48" s="99">
        <v>29</v>
      </c>
      <c r="E48" s="99">
        <v>1264</v>
      </c>
      <c r="F48" s="99">
        <f t="shared" ref="F48:F52" si="1">ROUNDUP(C48*E48/128*B48,0)</f>
        <v>320</v>
      </c>
      <c r="G48" s="99" t="s">
        <v>108</v>
      </c>
      <c r="H48" s="99">
        <v>2.5</v>
      </c>
      <c r="I48" s="99" t="s">
        <v>108</v>
      </c>
      <c r="J48" s="99">
        <f t="shared" ref="J48:J51" si="2">ROUNDUP(F48/H48,0)</f>
        <v>128</v>
      </c>
      <c r="K48" s="99">
        <v>0</v>
      </c>
      <c r="L48" s="251">
        <f t="shared" si="0"/>
        <v>128</v>
      </c>
    </row>
    <row r="49" spans="1:12" x14ac:dyDescent="0.25">
      <c r="A49" s="263" t="s">
        <v>140</v>
      </c>
      <c r="B49" s="99">
        <f>COUNTIF('Fwy &amp; Tee Schedule  '!C3:C285, "Harrell's Title Phyte")</f>
        <v>14</v>
      </c>
      <c r="C49" s="99">
        <v>1.8</v>
      </c>
      <c r="D49" s="99">
        <v>29</v>
      </c>
      <c r="E49" s="99">
        <v>1264</v>
      </c>
      <c r="F49" s="99">
        <f t="shared" si="1"/>
        <v>249</v>
      </c>
      <c r="G49" s="99" t="s">
        <v>108</v>
      </c>
      <c r="H49" s="99">
        <v>2.5</v>
      </c>
      <c r="I49" s="99" t="s">
        <v>108</v>
      </c>
      <c r="J49" s="99">
        <f t="shared" si="2"/>
        <v>100</v>
      </c>
      <c r="K49" s="99">
        <v>0</v>
      </c>
      <c r="L49" s="251">
        <f t="shared" si="0"/>
        <v>100</v>
      </c>
    </row>
    <row r="50" spans="1:12" x14ac:dyDescent="0.25">
      <c r="A50" s="263" t="s">
        <v>141</v>
      </c>
      <c r="B50" s="99">
        <f>COUNTIF('Fwy &amp; Tee Schedule  '!C4:C286, "Harrell's Iron Mn Mg")</f>
        <v>18</v>
      </c>
      <c r="C50" s="99">
        <v>0.75</v>
      </c>
      <c r="D50" s="99">
        <v>29</v>
      </c>
      <c r="E50" s="99">
        <v>1264</v>
      </c>
      <c r="F50" s="99">
        <f t="shared" si="1"/>
        <v>134</v>
      </c>
      <c r="G50" s="99" t="s">
        <v>108</v>
      </c>
      <c r="H50" s="99">
        <v>2.5</v>
      </c>
      <c r="I50" s="99" t="s">
        <v>108</v>
      </c>
      <c r="J50" s="99">
        <f t="shared" si="2"/>
        <v>54</v>
      </c>
      <c r="K50" s="99">
        <v>0</v>
      </c>
      <c r="L50" s="251">
        <f t="shared" si="0"/>
        <v>54</v>
      </c>
    </row>
    <row r="51" spans="1:12" x14ac:dyDescent="0.25">
      <c r="A51" s="263" t="s">
        <v>142</v>
      </c>
      <c r="B51" s="99">
        <f>COUNTIF('Fwy &amp; Tee Schedule  '!C5:C287, "Harrell's Amino Pro V")</f>
        <v>9</v>
      </c>
      <c r="C51" s="99">
        <v>0.5</v>
      </c>
      <c r="D51" s="99">
        <v>29</v>
      </c>
      <c r="E51" s="99">
        <v>1264</v>
      </c>
      <c r="F51" s="99">
        <f t="shared" si="1"/>
        <v>45</v>
      </c>
      <c r="G51" s="99" t="s">
        <v>108</v>
      </c>
      <c r="H51" s="99">
        <v>2.5</v>
      </c>
      <c r="I51" s="99" t="s">
        <v>108</v>
      </c>
      <c r="J51" s="99">
        <f t="shared" si="2"/>
        <v>18</v>
      </c>
      <c r="K51" s="99">
        <v>0</v>
      </c>
      <c r="L51" s="251">
        <f t="shared" si="0"/>
        <v>18</v>
      </c>
    </row>
    <row r="52" spans="1:12" x14ac:dyDescent="0.25">
      <c r="A52" s="263" t="s">
        <v>143</v>
      </c>
      <c r="B52" s="99">
        <f>COUNTIF('Fwy &amp; Tee Schedule  '!C6:C288, "Harrell's Seaweed A+E")</f>
        <v>9</v>
      </c>
      <c r="C52" s="99">
        <v>0.5</v>
      </c>
      <c r="D52" s="99">
        <v>29</v>
      </c>
      <c r="E52" s="99">
        <v>1264</v>
      </c>
      <c r="F52" s="99">
        <f t="shared" si="1"/>
        <v>45</v>
      </c>
      <c r="G52" s="99" t="s">
        <v>108</v>
      </c>
      <c r="H52" s="99">
        <v>2.5</v>
      </c>
      <c r="I52" s="99" t="s">
        <v>108</v>
      </c>
      <c r="J52" s="99">
        <f>ROUNDUP(F52/H52,0)</f>
        <v>18</v>
      </c>
      <c r="K52" s="99">
        <v>0</v>
      </c>
      <c r="L52" s="251">
        <f t="shared" si="0"/>
        <v>18</v>
      </c>
    </row>
    <row r="53" spans="1:12" x14ac:dyDescent="0.25">
      <c r="A53" s="268" t="s">
        <v>144</v>
      </c>
      <c r="B53" s="265">
        <v>8</v>
      </c>
      <c r="C53" s="265">
        <v>1.8</v>
      </c>
      <c r="D53" s="265">
        <v>7</v>
      </c>
      <c r="E53" s="265">
        <v>305</v>
      </c>
      <c r="F53" s="265">
        <v>32</v>
      </c>
      <c r="G53" s="265" t="s">
        <v>108</v>
      </c>
      <c r="H53" s="265">
        <v>5</v>
      </c>
      <c r="I53" s="265" t="s">
        <v>108</v>
      </c>
      <c r="J53" s="265">
        <f>ROUNDUP(F53/H53,0)</f>
        <v>7</v>
      </c>
      <c r="K53" s="265">
        <v>0</v>
      </c>
      <c r="L53" s="259">
        <f>K53+J53</f>
        <v>7</v>
      </c>
    </row>
    <row r="56" spans="1:12" x14ac:dyDescent="0.25">
      <c r="L56" s="99"/>
    </row>
    <row r="57" spans="1:12" ht="18.75" x14ac:dyDescent="0.3">
      <c r="A57" s="271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49FA8-05BE-4BE6-BE88-422664FA3311}">
  <sheetPr>
    <tabColor rgb="FF00B050"/>
  </sheetPr>
  <dimension ref="A1:AB56"/>
  <sheetViews>
    <sheetView workbookViewId="0">
      <pane ySplit="2" topLeftCell="A3" activePane="bottomLeft" state="frozen"/>
      <selection pane="bottomLeft" activeCell="A15" sqref="A15:XFD15"/>
    </sheetView>
  </sheetViews>
  <sheetFormatPr defaultRowHeight="15" x14ac:dyDescent="0.25"/>
  <cols>
    <col min="1" max="1" width="19.140625" bestFit="1" customWidth="1"/>
    <col min="2" max="2" width="11.28515625" bestFit="1" customWidth="1"/>
    <col min="3" max="3" width="12.85546875" bestFit="1" customWidth="1"/>
    <col min="4" max="4" width="12" bestFit="1" customWidth="1"/>
    <col min="5" max="7" width="11.28515625" bestFit="1" customWidth="1"/>
    <col min="8" max="8" width="14.7109375" customWidth="1"/>
    <col min="9" max="9" width="19.7109375" bestFit="1" customWidth="1"/>
    <col min="10" max="10" width="14.85546875" bestFit="1" customWidth="1"/>
    <col min="11" max="11" width="12.42578125" bestFit="1" customWidth="1"/>
    <col min="12" max="12" width="14.140625" bestFit="1" customWidth="1"/>
    <col min="13" max="13" width="14.7109375" bestFit="1" customWidth="1"/>
    <col min="14" max="14" width="6.140625" bestFit="1" customWidth="1"/>
    <col min="15" max="15" width="17.7109375" bestFit="1" customWidth="1"/>
    <col min="17" max="17" width="11.7109375" bestFit="1" customWidth="1"/>
    <col min="18" max="18" width="11" bestFit="1" customWidth="1"/>
    <col min="19" max="19" width="15.42578125" bestFit="1" customWidth="1"/>
    <col min="20" max="20" width="12.42578125" customWidth="1"/>
    <col min="21" max="23" width="11.28515625" bestFit="1" customWidth="1"/>
    <col min="24" max="24" width="10.28515625" bestFit="1" customWidth="1"/>
    <col min="25" max="25" width="11.28515625" bestFit="1" customWidth="1"/>
    <col min="28" max="28" width="11.28515625" bestFit="1" customWidth="1"/>
    <col min="16384" max="16384" width="9.140625" bestFit="1" customWidth="1"/>
  </cols>
  <sheetData>
    <row r="1" spans="1:25" ht="23.25" x14ac:dyDescent="0.35">
      <c r="A1" s="250"/>
      <c r="B1" s="246"/>
      <c r="C1" s="250"/>
      <c r="D1" s="250"/>
      <c r="E1" s="246"/>
      <c r="F1" s="246"/>
      <c r="G1" s="246"/>
      <c r="H1" s="649" t="s">
        <v>145</v>
      </c>
      <c r="I1" s="246"/>
      <c r="J1" s="644" t="s">
        <v>34</v>
      </c>
      <c r="K1" s="650"/>
      <c r="L1" s="650"/>
      <c r="M1" s="650"/>
      <c r="N1" s="248"/>
      <c r="O1" s="99"/>
      <c r="T1" s="651" t="s">
        <v>146</v>
      </c>
      <c r="U1" s="651"/>
    </row>
    <row r="2" spans="1:25" ht="18.75" x14ac:dyDescent="0.3">
      <c r="A2" s="617" t="s">
        <v>99</v>
      </c>
      <c r="B2" s="652" t="s">
        <v>147</v>
      </c>
      <c r="C2" s="653" t="s">
        <v>100</v>
      </c>
      <c r="D2" s="652" t="s">
        <v>148</v>
      </c>
      <c r="E2" s="652" t="s">
        <v>5</v>
      </c>
      <c r="F2" s="652" t="s">
        <v>102</v>
      </c>
      <c r="G2" s="654" t="s">
        <v>149</v>
      </c>
      <c r="H2" s="654" t="s">
        <v>150</v>
      </c>
      <c r="I2" s="654" t="s">
        <v>151</v>
      </c>
      <c r="J2" s="654" t="s">
        <v>152</v>
      </c>
      <c r="K2" s="652" t="s">
        <v>107</v>
      </c>
      <c r="L2" s="654" t="s">
        <v>153</v>
      </c>
      <c r="M2" s="652" t="s">
        <v>104</v>
      </c>
      <c r="N2" s="652" t="s">
        <v>105</v>
      </c>
      <c r="O2" s="655" t="s">
        <v>154</v>
      </c>
      <c r="Q2" s="379" t="s">
        <v>155</v>
      </c>
      <c r="R2" s="379" t="s">
        <v>156</v>
      </c>
      <c r="S2" s="375" t="s">
        <v>157</v>
      </c>
      <c r="T2" s="375" t="s">
        <v>158</v>
      </c>
      <c r="U2" s="375" t="s">
        <v>159</v>
      </c>
      <c r="V2" s="375" t="s">
        <v>160</v>
      </c>
      <c r="W2" s="375" t="s">
        <v>161</v>
      </c>
      <c r="X2" s="375" t="s">
        <v>162</v>
      </c>
      <c r="Y2" s="387" t="s">
        <v>163</v>
      </c>
    </row>
    <row r="3" spans="1:25" ht="23.25" x14ac:dyDescent="0.35">
      <c r="A3" s="656" t="s">
        <v>88</v>
      </c>
      <c r="B3" s="657" t="s">
        <v>164</v>
      </c>
      <c r="C3" s="657">
        <f>'Fwy &amp; Tee Quantities '!B3</f>
        <v>1</v>
      </c>
      <c r="D3" s="657">
        <v>2</v>
      </c>
      <c r="E3" s="657">
        <v>29</v>
      </c>
      <c r="F3" s="657">
        <v>1264</v>
      </c>
      <c r="G3" s="658">
        <f>H3/E3</f>
        <v>134.30000000000001</v>
      </c>
      <c r="H3" s="658">
        <f>D3*F3/128/M3*J3</f>
        <v>3894.7000000000003</v>
      </c>
      <c r="I3" s="659">
        <f>H3*C3</f>
        <v>3894.7000000000003</v>
      </c>
      <c r="J3" s="715">
        <f>'Total Order Sheet'!C29</f>
        <v>493</v>
      </c>
      <c r="K3" s="657">
        <f>'Fwy &amp; Tee Quantities '!J3</f>
        <v>0</v>
      </c>
      <c r="L3" s="658">
        <f>SUM(J3*K3)</f>
        <v>0</v>
      </c>
      <c r="M3" s="657">
        <v>2.5</v>
      </c>
      <c r="N3" s="660" t="s">
        <v>108</v>
      </c>
      <c r="O3" s="661">
        <f>H3</f>
        <v>3894.7000000000003</v>
      </c>
      <c r="Q3" s="662"/>
      <c r="R3" s="989"/>
      <c r="S3" s="663"/>
      <c r="T3" s="664"/>
      <c r="U3" s="664"/>
      <c r="V3" s="664"/>
      <c r="W3" s="665">
        <f>O3</f>
        <v>3894.7000000000003</v>
      </c>
      <c r="X3" s="664"/>
      <c r="Y3" s="758"/>
    </row>
    <row r="4" spans="1:25" x14ac:dyDescent="0.25">
      <c r="A4" s="666" t="s">
        <v>21</v>
      </c>
      <c r="B4" s="667" t="s">
        <v>165</v>
      </c>
      <c r="C4" s="667">
        <f>'Fwy &amp; Tee Quantities '!B4</f>
        <v>4</v>
      </c>
      <c r="D4" s="667">
        <v>0.5</v>
      </c>
      <c r="E4" s="657">
        <v>29</v>
      </c>
      <c r="F4" s="657">
        <v>1264</v>
      </c>
      <c r="G4" s="668">
        <f>H4/E4</f>
        <v>114.75431034482759</v>
      </c>
      <c r="H4" s="668">
        <f>D4*F4/128/M4*J4</f>
        <v>3327.875</v>
      </c>
      <c r="I4" s="669">
        <f>H4*C4</f>
        <v>13311.5</v>
      </c>
      <c r="J4" s="668">
        <f>'Total Order Sheet'!C6</f>
        <v>1685</v>
      </c>
      <c r="K4" s="667">
        <f>'Fwy &amp; Tee Quantities '!J4</f>
        <v>7</v>
      </c>
      <c r="L4" s="668">
        <f t="shared" ref="L4:L15" si="0">SUM(J4*K4)</f>
        <v>11795</v>
      </c>
      <c r="M4" s="667">
        <v>2.5</v>
      </c>
      <c r="N4" s="670" t="s">
        <v>108</v>
      </c>
      <c r="O4" s="671">
        <f>H4</f>
        <v>3327.875</v>
      </c>
      <c r="Q4" s="672"/>
      <c r="R4" s="990">
        <f>O4</f>
        <v>3327.875</v>
      </c>
      <c r="S4" s="668"/>
      <c r="T4" s="564"/>
      <c r="U4" s="669">
        <f>O4</f>
        <v>3327.875</v>
      </c>
      <c r="V4" s="669">
        <f>O4</f>
        <v>3327.875</v>
      </c>
      <c r="W4" s="669">
        <f>O4</f>
        <v>3327.875</v>
      </c>
      <c r="X4" s="564"/>
      <c r="Y4" s="759"/>
    </row>
    <row r="5" spans="1:25" ht="23.25" x14ac:dyDescent="0.35">
      <c r="A5" s="666" t="s">
        <v>24</v>
      </c>
      <c r="B5" s="667" t="s">
        <v>164</v>
      </c>
      <c r="C5" s="667">
        <f>'Fwy &amp; Tee Quantities '!B5</f>
        <v>3</v>
      </c>
      <c r="D5" s="667">
        <v>4</v>
      </c>
      <c r="E5" s="657">
        <v>29</v>
      </c>
      <c r="F5" s="657">
        <v>1264</v>
      </c>
      <c r="G5" s="668">
        <f t="shared" ref="G5:G15" si="1">H5/E5</f>
        <v>103.51724137931035</v>
      </c>
      <c r="H5" s="668">
        <f>D5*F5/128/M5*J5</f>
        <v>3002</v>
      </c>
      <c r="I5" s="669">
        <f t="shared" ref="I5:I9" si="2">H5*C5</f>
        <v>9006</v>
      </c>
      <c r="J5" s="716">
        <f>'Total Order Sheet'!C30</f>
        <v>190</v>
      </c>
      <c r="K5" s="667">
        <f>'Fwy &amp; Tee Quantities '!J5</f>
        <v>42</v>
      </c>
      <c r="L5" s="668">
        <f t="shared" si="0"/>
        <v>7980</v>
      </c>
      <c r="M5" s="667">
        <v>2.5</v>
      </c>
      <c r="N5" s="670" t="s">
        <v>108</v>
      </c>
      <c r="O5" s="671">
        <f t="shared" ref="O5:O40" si="3">H5</f>
        <v>3002</v>
      </c>
      <c r="Q5" s="672"/>
      <c r="R5" s="990">
        <f>O5</f>
        <v>3002</v>
      </c>
      <c r="S5" s="673"/>
      <c r="T5" s="669">
        <f>O5</f>
        <v>3002</v>
      </c>
      <c r="U5" s="564"/>
      <c r="V5" s="669"/>
      <c r="W5" s="564"/>
      <c r="X5" s="669">
        <f>O5</f>
        <v>3002</v>
      </c>
      <c r="Y5" s="759"/>
    </row>
    <row r="6" spans="1:25" x14ac:dyDescent="0.25">
      <c r="A6" s="666" t="s">
        <v>45</v>
      </c>
      <c r="B6" s="667" t="s">
        <v>164</v>
      </c>
      <c r="C6" s="667">
        <f>'Fwy &amp; Tee Quantities '!B6</f>
        <v>1</v>
      </c>
      <c r="D6" s="667">
        <v>2</v>
      </c>
      <c r="E6" s="657">
        <v>29</v>
      </c>
      <c r="F6" s="657">
        <v>1264</v>
      </c>
      <c r="G6" s="668">
        <f t="shared" si="1"/>
        <v>267.333275862069</v>
      </c>
      <c r="H6" s="668">
        <f t="shared" ref="H6:H14" si="4">D6*F6/128/M6*J6</f>
        <v>7752.6650000000009</v>
      </c>
      <c r="I6" s="669">
        <f t="shared" si="2"/>
        <v>7752.6650000000009</v>
      </c>
      <c r="J6" s="716">
        <f>'Total Order Sheet'!C31</f>
        <v>981.35</v>
      </c>
      <c r="K6" s="667">
        <f>'Fwy &amp; Tee Quantities '!J6</f>
        <v>0</v>
      </c>
      <c r="L6" s="668">
        <f t="shared" si="0"/>
        <v>0</v>
      </c>
      <c r="M6" s="667">
        <v>2.5</v>
      </c>
      <c r="N6" s="670" t="s">
        <v>108</v>
      </c>
      <c r="O6" s="671">
        <f t="shared" si="3"/>
        <v>7752.6650000000009</v>
      </c>
      <c r="Q6" s="672"/>
      <c r="R6" s="990"/>
      <c r="S6" s="669">
        <f>O6</f>
        <v>7752.6650000000009</v>
      </c>
      <c r="T6" s="564"/>
      <c r="U6" s="564"/>
      <c r="V6" s="564"/>
      <c r="W6" s="564"/>
      <c r="X6" s="564"/>
      <c r="Y6" s="759"/>
    </row>
    <row r="7" spans="1:25" x14ac:dyDescent="0.25">
      <c r="A7" s="666" t="s">
        <v>59</v>
      </c>
      <c r="B7" s="667" t="s">
        <v>166</v>
      </c>
      <c r="C7" s="667">
        <f>'Fwy &amp; Tee Quantities '!B7</f>
        <v>1</v>
      </c>
      <c r="D7" s="667">
        <v>1.1000000000000001</v>
      </c>
      <c r="E7" s="657">
        <v>29</v>
      </c>
      <c r="F7" s="657">
        <v>1264</v>
      </c>
      <c r="G7" s="668">
        <f t="shared" si="1"/>
        <v>425.51034482758627</v>
      </c>
      <c r="H7" s="668">
        <f>D7*F7/16/M7*J7</f>
        <v>12339.800000000001</v>
      </c>
      <c r="I7" s="669">
        <f t="shared" si="2"/>
        <v>12339.800000000001</v>
      </c>
      <c r="J7" s="716">
        <f>'Total Order Sheet'!C41</f>
        <v>5112</v>
      </c>
      <c r="K7" s="667">
        <f>'Fwy &amp; Tee Quantities '!J7</f>
        <v>1</v>
      </c>
      <c r="L7" s="668">
        <f>SUM(J7*K7)</f>
        <v>5112</v>
      </c>
      <c r="M7" s="667">
        <v>36</v>
      </c>
      <c r="N7" s="670" t="s">
        <v>110</v>
      </c>
      <c r="O7" s="671">
        <f>H7</f>
        <v>12339.800000000001</v>
      </c>
      <c r="Q7" s="674"/>
      <c r="R7" s="848"/>
      <c r="S7" s="669">
        <f>O7</f>
        <v>12339.800000000001</v>
      </c>
      <c r="T7" s="564"/>
      <c r="U7" s="564"/>
      <c r="V7" s="564"/>
      <c r="W7" s="564"/>
      <c r="X7" s="564"/>
      <c r="Y7" s="759"/>
    </row>
    <row r="8" spans="1:25" x14ac:dyDescent="0.25">
      <c r="A8" s="666" t="s">
        <v>111</v>
      </c>
      <c r="B8" s="667" t="s">
        <v>165</v>
      </c>
      <c r="C8" s="667">
        <f>'Fwy &amp; Tee Quantities '!B8</f>
        <v>7</v>
      </c>
      <c r="D8" s="667">
        <v>1.8</v>
      </c>
      <c r="E8" s="657">
        <v>29</v>
      </c>
      <c r="F8" s="657">
        <v>1264</v>
      </c>
      <c r="G8" s="668">
        <f>H8/E8</f>
        <v>51.486206896551735</v>
      </c>
      <c r="H8" s="668">
        <f t="shared" si="4"/>
        <v>1493.1000000000004</v>
      </c>
      <c r="I8" s="669">
        <f t="shared" si="2"/>
        <v>10451.700000000003</v>
      </c>
      <c r="J8" s="668">
        <f>'Total Order Sheet'!C7</f>
        <v>210</v>
      </c>
      <c r="K8" s="667">
        <f>'Fwy &amp; Tee Quantities '!J8</f>
        <v>46</v>
      </c>
      <c r="L8" s="668">
        <f t="shared" si="0"/>
        <v>9660</v>
      </c>
      <c r="M8" s="667">
        <v>2.5</v>
      </c>
      <c r="N8" s="670" t="s">
        <v>108</v>
      </c>
      <c r="O8" s="671">
        <f>H8</f>
        <v>1493.1000000000004</v>
      </c>
      <c r="Q8" s="672"/>
      <c r="R8" s="990">
        <f>O8</f>
        <v>1493.1000000000004</v>
      </c>
      <c r="S8" s="564"/>
      <c r="T8" s="669">
        <f>O8*2</f>
        <v>2986.2000000000007</v>
      </c>
      <c r="U8" s="669">
        <f>O8*2</f>
        <v>2986.2000000000007</v>
      </c>
      <c r="V8" s="669">
        <f>O8</f>
        <v>1493.1000000000004</v>
      </c>
      <c r="W8" s="669"/>
      <c r="X8" s="669">
        <f>O8</f>
        <v>1493.1000000000004</v>
      </c>
      <c r="Y8" s="759"/>
    </row>
    <row r="9" spans="1:25" x14ac:dyDescent="0.25">
      <c r="A9" s="666" t="s">
        <v>16</v>
      </c>
      <c r="B9" s="667" t="s">
        <v>164</v>
      </c>
      <c r="C9" s="667">
        <f>'Fwy &amp; Tee Quantities '!B9</f>
        <v>3</v>
      </c>
      <c r="D9" s="667">
        <v>8.5</v>
      </c>
      <c r="E9" s="657">
        <v>29</v>
      </c>
      <c r="F9" s="657">
        <v>1264</v>
      </c>
      <c r="G9" s="668">
        <f t="shared" si="1"/>
        <v>111.27666666666666</v>
      </c>
      <c r="H9" s="668">
        <f>D9*E9/M9*J9</f>
        <v>3227.0233333333331</v>
      </c>
      <c r="I9" s="669">
        <f t="shared" si="2"/>
        <v>9681.07</v>
      </c>
      <c r="J9" s="716">
        <f>'Total Order Sheet'!C32</f>
        <v>667.66</v>
      </c>
      <c r="K9" s="667">
        <f>'Fwy &amp; Tee Quantities '!J9</f>
        <v>15</v>
      </c>
      <c r="L9" s="668">
        <f t="shared" si="0"/>
        <v>10014.9</v>
      </c>
      <c r="M9" s="667">
        <v>51</v>
      </c>
      <c r="N9" s="670" t="s">
        <v>112</v>
      </c>
      <c r="O9" s="671">
        <f t="shared" si="3"/>
        <v>3227.0233333333331</v>
      </c>
      <c r="Q9" s="672"/>
      <c r="R9" s="990">
        <f>O9*2</f>
        <v>6454.0466666666662</v>
      </c>
      <c r="S9" s="564"/>
      <c r="T9" s="669">
        <f>O9</f>
        <v>3227.0233333333331</v>
      </c>
      <c r="U9" s="564"/>
      <c r="V9" s="564"/>
      <c r="W9" s="564"/>
      <c r="X9" s="564"/>
      <c r="Y9" s="759"/>
    </row>
    <row r="10" spans="1:25" x14ac:dyDescent="0.25">
      <c r="A10" s="666" t="s">
        <v>74</v>
      </c>
      <c r="B10" s="667" t="s">
        <v>165</v>
      </c>
      <c r="C10" s="667">
        <f>'Fwy &amp; Tee Quantities '!B10</f>
        <v>2</v>
      </c>
      <c r="D10" s="667">
        <v>0.27</v>
      </c>
      <c r="E10" s="657">
        <v>29</v>
      </c>
      <c r="F10" s="657">
        <v>1264</v>
      </c>
      <c r="G10" s="668">
        <f>H10/E10</f>
        <v>275.08344827586205</v>
      </c>
      <c r="H10" s="668">
        <f>D10*F10/16/M10*J10</f>
        <v>7977.42</v>
      </c>
      <c r="I10" s="669">
        <f t="shared" ref="I10:I20" si="5">H10*C10</f>
        <v>15954.84</v>
      </c>
      <c r="J10" s="668">
        <f>'Total Order Sheet'!C8</f>
        <v>2244</v>
      </c>
      <c r="K10" s="667">
        <f>'Fwy &amp; Tee Quantities '!J10</f>
        <v>3</v>
      </c>
      <c r="L10" s="668">
        <f t="shared" si="0"/>
        <v>6732</v>
      </c>
      <c r="M10" s="667">
        <v>6</v>
      </c>
      <c r="N10" s="670" t="s">
        <v>110</v>
      </c>
      <c r="O10" s="671">
        <f t="shared" si="3"/>
        <v>7977.42</v>
      </c>
      <c r="Q10" s="674"/>
      <c r="R10" s="848"/>
      <c r="S10" s="564"/>
      <c r="T10" s="669"/>
      <c r="U10" s="669">
        <f>O10</f>
        <v>7977.42</v>
      </c>
      <c r="V10" s="669">
        <f>O10</f>
        <v>7977.42</v>
      </c>
      <c r="W10" s="564"/>
      <c r="X10" s="564"/>
      <c r="Y10" s="759"/>
    </row>
    <row r="11" spans="1:25" x14ac:dyDescent="0.25">
      <c r="A11" s="666" t="s">
        <v>114</v>
      </c>
      <c r="B11" s="667" t="s">
        <v>167</v>
      </c>
      <c r="C11" s="667">
        <f>'Fwy &amp; Tee Quantities '!B11</f>
        <v>1</v>
      </c>
      <c r="D11" s="667">
        <v>2</v>
      </c>
      <c r="E11" s="657">
        <v>29</v>
      </c>
      <c r="F11" s="657">
        <v>1264</v>
      </c>
      <c r="G11" s="668">
        <f t="shared" si="1"/>
        <v>36.775862068965516</v>
      </c>
      <c r="H11" s="668">
        <f t="shared" si="4"/>
        <v>1066.5</v>
      </c>
      <c r="I11" s="669">
        <f t="shared" si="5"/>
        <v>1066.5</v>
      </c>
      <c r="J11" s="716">
        <f>'Total Order Sheet'!C52</f>
        <v>135</v>
      </c>
      <c r="K11" s="667">
        <f>'Fwy &amp; Tee Quantities '!J11</f>
        <v>0</v>
      </c>
      <c r="L11" s="668">
        <f t="shared" si="0"/>
        <v>0</v>
      </c>
      <c r="M11" s="667">
        <v>2.5</v>
      </c>
      <c r="N11" s="670" t="s">
        <v>108</v>
      </c>
      <c r="O11" s="671">
        <f t="shared" si="3"/>
        <v>1066.5</v>
      </c>
      <c r="Q11" s="674"/>
      <c r="R11" s="848"/>
      <c r="S11" s="564"/>
      <c r="T11" s="564"/>
      <c r="U11" s="669">
        <f>O11</f>
        <v>1066.5</v>
      </c>
      <c r="V11" s="564"/>
      <c r="W11" s="564"/>
      <c r="X11" s="564"/>
      <c r="Y11" s="759"/>
    </row>
    <row r="12" spans="1:25" x14ac:dyDescent="0.25">
      <c r="A12" s="666" t="s">
        <v>86</v>
      </c>
      <c r="B12" s="667" t="s">
        <v>168</v>
      </c>
      <c r="C12" s="667">
        <f>'Fwy &amp; Tee Quantities '!B12</f>
        <v>1</v>
      </c>
      <c r="D12" s="667">
        <v>2.4</v>
      </c>
      <c r="E12" s="657">
        <v>29</v>
      </c>
      <c r="F12" s="657">
        <v>1264</v>
      </c>
      <c r="G12" s="668">
        <f t="shared" si="1"/>
        <v>17.114999999999998</v>
      </c>
      <c r="H12" s="668">
        <f>D12*E12/16/M12*J12</f>
        <v>496.33499999999998</v>
      </c>
      <c r="I12" s="669">
        <f t="shared" si="5"/>
        <v>496.33499999999998</v>
      </c>
      <c r="J12" s="716">
        <f>'Total Order Sheet'!C70</f>
        <v>273.83999999999997</v>
      </c>
      <c r="K12" s="667">
        <f>'Fwy &amp; Tee Quantities '!J12</f>
        <v>0</v>
      </c>
      <c r="L12" s="668">
        <f t="shared" si="0"/>
        <v>0</v>
      </c>
      <c r="M12" s="667">
        <v>2.4</v>
      </c>
      <c r="N12" s="670" t="s">
        <v>110</v>
      </c>
      <c r="O12" s="671">
        <f>H12</f>
        <v>496.33499999999998</v>
      </c>
      <c r="Q12" s="674"/>
      <c r="R12" s="848"/>
      <c r="S12" s="564"/>
      <c r="T12" s="564"/>
      <c r="U12" s="564"/>
      <c r="V12" s="669">
        <f>O12</f>
        <v>496.33499999999998</v>
      </c>
      <c r="W12" s="669"/>
      <c r="X12" s="564"/>
      <c r="Y12" s="759"/>
    </row>
    <row r="13" spans="1:25" x14ac:dyDescent="0.25">
      <c r="A13" s="666" t="s">
        <v>116</v>
      </c>
      <c r="B13" s="667" t="s">
        <v>166</v>
      </c>
      <c r="C13" s="667">
        <f>'Fwy &amp; Tee Quantities '!B13</f>
        <v>0</v>
      </c>
      <c r="D13" s="667">
        <v>0.47</v>
      </c>
      <c r="E13" s="657">
        <v>29</v>
      </c>
      <c r="F13" s="657">
        <v>1264</v>
      </c>
      <c r="G13" s="668">
        <f t="shared" si="1"/>
        <v>614.56551724137921</v>
      </c>
      <c r="H13" s="668">
        <f>D13*F13/M13*J13</f>
        <v>17822.399999999998</v>
      </c>
      <c r="I13" s="669">
        <f t="shared" si="5"/>
        <v>0</v>
      </c>
      <c r="J13" s="716">
        <f>'Total Order Sheet'!C42</f>
        <v>630</v>
      </c>
      <c r="K13" s="667">
        <f>'Fwy &amp; Tee Quantities '!J13</f>
        <v>0</v>
      </c>
      <c r="L13" s="668">
        <f t="shared" si="0"/>
        <v>0</v>
      </c>
      <c r="M13" s="667">
        <v>21</v>
      </c>
      <c r="N13" s="670" t="s">
        <v>112</v>
      </c>
      <c r="O13" s="671">
        <f t="shared" si="3"/>
        <v>17822.399999999998</v>
      </c>
      <c r="Q13" s="674"/>
      <c r="R13" s="848"/>
      <c r="S13" s="564"/>
      <c r="T13" s="564"/>
      <c r="U13" s="669"/>
      <c r="V13" s="669"/>
      <c r="W13" s="564"/>
      <c r="X13" s="564"/>
      <c r="Y13" s="759"/>
    </row>
    <row r="14" spans="1:25" x14ac:dyDescent="0.25">
      <c r="A14" s="666" t="s">
        <v>117</v>
      </c>
      <c r="B14" s="667" t="s">
        <v>165</v>
      </c>
      <c r="C14" s="667">
        <f>'Fwy &amp; Tee Quantities '!B14</f>
        <v>1</v>
      </c>
      <c r="D14" s="667">
        <v>5</v>
      </c>
      <c r="E14" s="657">
        <v>29</v>
      </c>
      <c r="F14" s="657">
        <v>1264</v>
      </c>
      <c r="G14" s="668">
        <f t="shared" si="1"/>
        <v>326.89655172413791</v>
      </c>
      <c r="H14" s="668">
        <f t="shared" si="4"/>
        <v>9480</v>
      </c>
      <c r="I14" s="669">
        <f t="shared" si="5"/>
        <v>9480</v>
      </c>
      <c r="J14" s="668">
        <f>'Total Order Sheet'!C9</f>
        <v>480</v>
      </c>
      <c r="K14" s="667">
        <f>'Fwy &amp; Tee Quantities '!J14</f>
        <v>20</v>
      </c>
      <c r="L14" s="668">
        <f t="shared" si="0"/>
        <v>9600</v>
      </c>
      <c r="M14" s="667">
        <v>2.5</v>
      </c>
      <c r="N14" s="670" t="s">
        <v>108</v>
      </c>
      <c r="O14" s="671">
        <f t="shared" si="3"/>
        <v>9480</v>
      </c>
      <c r="Q14" s="674"/>
      <c r="R14" s="848"/>
      <c r="S14" s="564"/>
      <c r="T14" s="564"/>
      <c r="U14" s="564"/>
      <c r="V14" s="564"/>
      <c r="W14" s="564"/>
      <c r="X14" s="578"/>
      <c r="Y14" s="1509">
        <f>O14</f>
        <v>9480</v>
      </c>
    </row>
    <row r="15" spans="1:25" x14ac:dyDescent="0.25">
      <c r="A15" s="666" t="s">
        <v>118</v>
      </c>
      <c r="B15" s="667" t="s">
        <v>165</v>
      </c>
      <c r="C15" s="675">
        <f>'Fwy &amp; Tee Quantities '!B15</f>
        <v>2</v>
      </c>
      <c r="D15" s="675">
        <v>0.7</v>
      </c>
      <c r="E15" s="657">
        <v>29</v>
      </c>
      <c r="F15" s="657">
        <v>1264</v>
      </c>
      <c r="G15" s="676">
        <f t="shared" si="1"/>
        <v>411.88965517241377</v>
      </c>
      <c r="H15" s="676">
        <f>D15*F15/M15*J15</f>
        <v>11944.8</v>
      </c>
      <c r="I15" s="669">
        <f t="shared" si="5"/>
        <v>23889.599999999999</v>
      </c>
      <c r="J15" s="676">
        <f>'Total Order Sheet'!C15</f>
        <v>297</v>
      </c>
      <c r="K15" s="675">
        <f>'Fwy &amp; Tee Quantities '!J15</f>
        <v>54</v>
      </c>
      <c r="L15" s="676">
        <f t="shared" si="0"/>
        <v>16038</v>
      </c>
      <c r="M15" s="675">
        <v>22</v>
      </c>
      <c r="N15" s="677" t="s">
        <v>112</v>
      </c>
      <c r="O15" s="671">
        <f t="shared" si="3"/>
        <v>11944.8</v>
      </c>
      <c r="Q15" s="674"/>
      <c r="R15" s="848"/>
      <c r="S15" s="669"/>
      <c r="T15" s="669"/>
      <c r="U15" s="669">
        <f>O15</f>
        <v>11944.8</v>
      </c>
      <c r="V15" s="669">
        <f>O15</f>
        <v>11944.8</v>
      </c>
      <c r="W15" s="564"/>
      <c r="X15" s="564"/>
      <c r="Y15" s="759"/>
    </row>
    <row r="16" spans="1:25" x14ac:dyDescent="0.25">
      <c r="A16" s="666" t="s">
        <v>84</v>
      </c>
      <c r="B16" s="667" t="s">
        <v>168</v>
      </c>
      <c r="C16" s="675">
        <f>'Fwy &amp; Tee Quantities '!B17</f>
        <v>1</v>
      </c>
      <c r="D16" s="675">
        <v>6</v>
      </c>
      <c r="E16" s="657">
        <v>29</v>
      </c>
      <c r="F16" s="657">
        <v>1264</v>
      </c>
      <c r="G16" s="678">
        <f>H16/E16</f>
        <v>133.93678160919541</v>
      </c>
      <c r="H16" s="679">
        <f>D16*F16/16/M16*J16</f>
        <v>3884.1666666666665</v>
      </c>
      <c r="I16" s="679">
        <f t="shared" si="5"/>
        <v>3884.1666666666665</v>
      </c>
      <c r="J16" s="679">
        <f>'Total Order Sheet'!C69</f>
        <v>295</v>
      </c>
      <c r="K16" s="675">
        <f>'Fwy &amp; Tee Quantities '!J17</f>
        <v>14</v>
      </c>
      <c r="L16" s="679">
        <f>SUM(J16*K16)</f>
        <v>4130</v>
      </c>
      <c r="M16" s="675">
        <v>36</v>
      </c>
      <c r="N16" s="675" t="s">
        <v>169</v>
      </c>
      <c r="O16" s="680">
        <f>H16</f>
        <v>3884.1666666666665</v>
      </c>
      <c r="Q16" s="674"/>
      <c r="R16" s="848"/>
      <c r="S16" s="669"/>
      <c r="T16" s="564"/>
      <c r="U16" s="669"/>
      <c r="V16" s="681">
        <f>O16</f>
        <v>3884.1666666666665</v>
      </c>
      <c r="W16" s="564"/>
      <c r="X16" s="564"/>
      <c r="Y16" s="759"/>
    </row>
    <row r="17" spans="1:28" x14ac:dyDescent="0.25">
      <c r="A17" s="666" t="s">
        <v>82</v>
      </c>
      <c r="B17" s="667" t="s">
        <v>165</v>
      </c>
      <c r="C17" s="675">
        <f>'Fwy &amp; Tee Quantities '!B18</f>
        <v>1</v>
      </c>
      <c r="D17" s="675">
        <v>0.5</v>
      </c>
      <c r="E17" s="657">
        <v>29</v>
      </c>
      <c r="F17" s="657">
        <v>1264</v>
      </c>
      <c r="G17" s="678">
        <f t="shared" ref="G17:G19" si="6">H17/E17</f>
        <v>102.66594827586206</v>
      </c>
      <c r="H17" s="679">
        <f>D17*F17/128/M17*J17</f>
        <v>2977.3125</v>
      </c>
      <c r="I17" s="679">
        <f t="shared" si="5"/>
        <v>2977.3125</v>
      </c>
      <c r="J17" s="679">
        <f>'Total Order Sheet'!C14</f>
        <v>6030</v>
      </c>
      <c r="K17" s="675">
        <f>'Fwy &amp; Tee Quantities '!J18</f>
        <v>1</v>
      </c>
      <c r="L17" s="679">
        <f t="shared" ref="L17:L19" si="7">SUM(J17*K17)</f>
        <v>6030</v>
      </c>
      <c r="M17" s="675">
        <v>10</v>
      </c>
      <c r="N17" s="677" t="s">
        <v>108</v>
      </c>
      <c r="O17" s="680">
        <f t="shared" ref="O17:O19" si="8">H17</f>
        <v>2977.3125</v>
      </c>
      <c r="Q17" s="674"/>
      <c r="R17" s="848"/>
      <c r="S17" s="669"/>
      <c r="T17" s="564"/>
      <c r="U17" s="669">
        <f>O17</f>
        <v>2977.3125</v>
      </c>
      <c r="V17" s="681"/>
      <c r="W17" s="564"/>
      <c r="X17" s="564"/>
      <c r="Y17" s="759"/>
    </row>
    <row r="18" spans="1:28" x14ac:dyDescent="0.25">
      <c r="A18" s="666" t="s">
        <v>170</v>
      </c>
      <c r="B18" s="667" t="s">
        <v>165</v>
      </c>
      <c r="C18" s="675">
        <f>'Fwy &amp; Tee Quantities '!B16</f>
        <v>0</v>
      </c>
      <c r="D18" s="675">
        <v>0.32</v>
      </c>
      <c r="E18" s="657">
        <v>29</v>
      </c>
      <c r="F18" s="657">
        <v>1264</v>
      </c>
      <c r="G18" s="678">
        <f t="shared" si="6"/>
        <v>230.86576026272579</v>
      </c>
      <c r="H18" s="679">
        <f>D18*F18/M18*J18</f>
        <v>6695.107047619048</v>
      </c>
      <c r="I18" s="679">
        <f t="shared" si="5"/>
        <v>0</v>
      </c>
      <c r="J18" s="679">
        <f>'Total Order Sheet'!C16</f>
        <v>1738</v>
      </c>
      <c r="K18" s="675">
        <f>'Fwy &amp; Tee Quantities '!J16</f>
        <v>0</v>
      </c>
      <c r="L18" s="679">
        <f t="shared" si="7"/>
        <v>0</v>
      </c>
      <c r="M18" s="675">
        <v>105</v>
      </c>
      <c r="N18" s="677" t="s">
        <v>112</v>
      </c>
      <c r="O18" s="680">
        <f t="shared" si="8"/>
        <v>6695.107047619048</v>
      </c>
      <c r="Q18" s="674"/>
      <c r="R18" s="848"/>
      <c r="S18" s="669"/>
      <c r="T18" s="564"/>
      <c r="U18" s="669"/>
      <c r="V18" s="681"/>
      <c r="W18" s="564"/>
      <c r="X18" s="564"/>
      <c r="Y18" s="759"/>
    </row>
    <row r="19" spans="1:28" x14ac:dyDescent="0.25">
      <c r="A19" s="666" t="s">
        <v>90</v>
      </c>
      <c r="B19" s="667" t="s">
        <v>166</v>
      </c>
      <c r="C19" s="675">
        <f>'Fwy &amp; Tee Quantities '!B19</f>
        <v>1</v>
      </c>
      <c r="D19" s="675">
        <f>'Fwy &amp; Tee Quantities '!C19</f>
        <v>0.26</v>
      </c>
      <c r="E19" s="657">
        <v>29</v>
      </c>
      <c r="F19" s="657">
        <v>1264</v>
      </c>
      <c r="G19" s="678">
        <f t="shared" si="6"/>
        <v>179.05213793103448</v>
      </c>
      <c r="H19" s="679">
        <f>D19*F19/M19*J19</f>
        <v>5192.5119999999997</v>
      </c>
      <c r="I19" s="679">
        <f t="shared" si="5"/>
        <v>5192.5119999999997</v>
      </c>
      <c r="J19" s="679">
        <f>'Total Order Sheet'!C45</f>
        <v>1801.2</v>
      </c>
      <c r="K19" s="675">
        <f>'Fwy &amp; Tee Quantities '!J19</f>
        <v>0</v>
      </c>
      <c r="L19" s="679">
        <f t="shared" si="7"/>
        <v>0</v>
      </c>
      <c r="M19" s="675">
        <v>114</v>
      </c>
      <c r="N19" s="677" t="s">
        <v>112</v>
      </c>
      <c r="O19" s="680">
        <f t="shared" si="8"/>
        <v>5192.5119999999997</v>
      </c>
      <c r="Q19" s="674"/>
      <c r="R19" s="848"/>
      <c r="S19" s="669"/>
      <c r="T19" s="564"/>
      <c r="U19" s="669"/>
      <c r="V19" s="681"/>
      <c r="W19" s="564"/>
      <c r="X19" s="681">
        <f>O19</f>
        <v>5192.5119999999997</v>
      </c>
      <c r="Y19" s="759"/>
    </row>
    <row r="20" spans="1:28" x14ac:dyDescent="0.25">
      <c r="A20" s="682" t="s">
        <v>124</v>
      </c>
      <c r="B20" s="683" t="s">
        <v>165</v>
      </c>
      <c r="C20" s="683">
        <f>'Fwy &amp; Tee Quantities '!B22</f>
        <v>1</v>
      </c>
      <c r="D20" s="683">
        <v>0.37</v>
      </c>
      <c r="E20" s="724">
        <v>29</v>
      </c>
      <c r="F20" s="724">
        <v>1264</v>
      </c>
      <c r="G20" s="684">
        <f>H20/E20</f>
        <v>221.49284482758623</v>
      </c>
      <c r="H20" s="684">
        <f>D20*F20/M20*J20</f>
        <v>6423.2925000000005</v>
      </c>
      <c r="I20" s="684">
        <f t="shared" si="5"/>
        <v>6423.2925000000005</v>
      </c>
      <c r="J20" s="684">
        <f>'Total Order Sheet'!C13</f>
        <v>879</v>
      </c>
      <c r="K20" s="683">
        <f>'Fwy &amp; Tee Quantities '!K22</f>
        <v>0</v>
      </c>
      <c r="L20" s="684">
        <f>SUM(J20*K20)</f>
        <v>0</v>
      </c>
      <c r="M20" s="683">
        <v>64</v>
      </c>
      <c r="N20" s="685" t="s">
        <v>112</v>
      </c>
      <c r="O20" s="671">
        <f t="shared" si="3"/>
        <v>6423.2925000000005</v>
      </c>
      <c r="Q20" s="686"/>
      <c r="R20" s="991">
        <f>O20</f>
        <v>6423.2925000000005</v>
      </c>
      <c r="S20" s="688"/>
      <c r="T20" s="571"/>
      <c r="U20" s="571"/>
      <c r="V20" s="571"/>
      <c r="W20" s="571"/>
      <c r="X20" s="571"/>
      <c r="Y20" s="760"/>
    </row>
    <row r="21" spans="1:28" x14ac:dyDescent="0.25">
      <c r="A21" s="682" t="s">
        <v>57</v>
      </c>
      <c r="B21" s="683" t="s">
        <v>167</v>
      </c>
      <c r="C21" s="683">
        <f>'Fwy &amp; Tee Quantities '!B23</f>
        <v>1</v>
      </c>
      <c r="D21" s="683">
        <v>3</v>
      </c>
      <c r="E21" s="724">
        <v>29</v>
      </c>
      <c r="F21" s="724">
        <v>1264</v>
      </c>
      <c r="G21" s="684">
        <f t="shared" ref="G21:G24" si="9">H21/E21</f>
        <v>283.99137931034483</v>
      </c>
      <c r="H21" s="684">
        <f t="shared" ref="H21:H25" si="10">D21*F21/128/M21*J21</f>
        <v>8235.75</v>
      </c>
      <c r="I21" s="684">
        <f t="shared" ref="I21:I25" si="11">H21*C21</f>
        <v>8235.75</v>
      </c>
      <c r="J21" s="717">
        <f>'Total Order Sheet'!C53</f>
        <v>695</v>
      </c>
      <c r="K21" s="683">
        <f>'Fwy &amp; Tee Quantities '!K23</f>
        <v>9</v>
      </c>
      <c r="L21" s="684">
        <f t="shared" ref="L21:L25" si="12">SUM(J21*K21)</f>
        <v>6255</v>
      </c>
      <c r="M21" s="683">
        <v>2.5</v>
      </c>
      <c r="N21" s="685" t="s">
        <v>108</v>
      </c>
      <c r="O21" s="671">
        <f t="shared" si="3"/>
        <v>8235.75</v>
      </c>
      <c r="Q21" s="686"/>
      <c r="R21" s="991"/>
      <c r="S21" s="688">
        <f>O21</f>
        <v>8235.75</v>
      </c>
      <c r="T21" s="571"/>
      <c r="U21" s="571"/>
      <c r="V21" s="571"/>
      <c r="W21" s="571"/>
      <c r="X21" s="571"/>
      <c r="Y21" s="760"/>
    </row>
    <row r="22" spans="1:28" x14ac:dyDescent="0.25">
      <c r="A22" s="682" t="s">
        <v>69</v>
      </c>
      <c r="B22" s="683" t="s">
        <v>171</v>
      </c>
      <c r="C22" s="683">
        <f>'Fwy &amp; Tee Quantities '!B24</f>
        <v>2</v>
      </c>
      <c r="D22" s="683">
        <v>16</v>
      </c>
      <c r="E22" s="724">
        <v>29</v>
      </c>
      <c r="F22" s="724">
        <v>1264</v>
      </c>
      <c r="G22" s="684">
        <f t="shared" si="9"/>
        <v>219.75</v>
      </c>
      <c r="H22" s="684">
        <f>D22*E22/M22*J22</f>
        <v>6372.75</v>
      </c>
      <c r="I22" s="684">
        <f t="shared" si="11"/>
        <v>12745.5</v>
      </c>
      <c r="J22" s="684">
        <f>'Total Order Sheet'!C90</f>
        <v>879</v>
      </c>
      <c r="K22" s="683">
        <f>'Fwy &amp; Tee Quantities '!K24</f>
        <v>8</v>
      </c>
      <c r="L22" s="684">
        <f t="shared" si="12"/>
        <v>7032</v>
      </c>
      <c r="M22" s="683">
        <v>64</v>
      </c>
      <c r="N22" s="685" t="s">
        <v>112</v>
      </c>
      <c r="O22" s="671">
        <f t="shared" si="3"/>
        <v>6372.75</v>
      </c>
      <c r="Q22" s="686"/>
      <c r="R22" s="786"/>
      <c r="S22" s="571"/>
      <c r="T22" s="688">
        <f>O22</f>
        <v>6372.75</v>
      </c>
      <c r="U22" s="688">
        <f>O22</f>
        <v>6372.75</v>
      </c>
      <c r="V22" s="571"/>
      <c r="W22" s="571"/>
      <c r="X22" s="571"/>
      <c r="Y22" s="760"/>
      <c r="AB22" s="714">
        <f>SUM(R20+S21+T22+U22+U23+T24+V24)</f>
        <v>37965.789166666662</v>
      </c>
    </row>
    <row r="23" spans="1:28" x14ac:dyDescent="0.25">
      <c r="A23" s="682" t="s">
        <v>77</v>
      </c>
      <c r="B23" s="683" t="s">
        <v>165</v>
      </c>
      <c r="C23" s="683">
        <f>'Fwy &amp; Tee Quantities '!B25</f>
        <v>1</v>
      </c>
      <c r="D23" s="683">
        <v>0.28000000000000003</v>
      </c>
      <c r="E23" s="724">
        <v>29</v>
      </c>
      <c r="F23" s="724">
        <v>1264</v>
      </c>
      <c r="G23" s="684">
        <f t="shared" si="9"/>
        <v>166.40850574712647</v>
      </c>
      <c r="H23" s="684">
        <f>D23*F23/M23*J23</f>
        <v>4825.8466666666673</v>
      </c>
      <c r="I23" s="684">
        <f t="shared" si="11"/>
        <v>4825.8466666666673</v>
      </c>
      <c r="J23" s="684">
        <f>'Total Order Sheet'!C5</f>
        <v>1309</v>
      </c>
      <c r="K23" s="683">
        <f>'Fwy &amp; Tee Quantities '!K25</f>
        <v>0</v>
      </c>
      <c r="L23" s="684">
        <f t="shared" si="12"/>
        <v>0</v>
      </c>
      <c r="M23" s="683">
        <v>96</v>
      </c>
      <c r="N23" s="685" t="s">
        <v>112</v>
      </c>
      <c r="O23" s="671">
        <f t="shared" si="3"/>
        <v>4825.8466666666673</v>
      </c>
      <c r="Q23" s="686"/>
      <c r="R23" s="786"/>
      <c r="S23" s="571"/>
      <c r="T23" s="571"/>
      <c r="U23" s="688">
        <f>O23</f>
        <v>4825.8466666666673</v>
      </c>
      <c r="V23" s="571"/>
      <c r="W23" s="571"/>
      <c r="X23" s="571"/>
      <c r="Y23" s="760"/>
    </row>
    <row r="24" spans="1:28" x14ac:dyDescent="0.25">
      <c r="A24" s="682" t="s">
        <v>64</v>
      </c>
      <c r="B24" s="683" t="s">
        <v>164</v>
      </c>
      <c r="C24" s="683">
        <f>'Fwy &amp; Tee Quantities '!B26</f>
        <v>2</v>
      </c>
      <c r="D24" s="683">
        <v>0.55000000000000004</v>
      </c>
      <c r="E24" s="724">
        <v>29</v>
      </c>
      <c r="F24" s="724">
        <v>1264</v>
      </c>
      <c r="G24" s="684">
        <f t="shared" si="9"/>
        <v>98.886206896551727</v>
      </c>
      <c r="H24" s="684">
        <f>D24*F24/128/M24*J24</f>
        <v>2867.7000000000003</v>
      </c>
      <c r="I24" s="684">
        <f t="shared" si="11"/>
        <v>5735.4000000000005</v>
      </c>
      <c r="J24" s="717">
        <f>'Total Order Sheet'!C33</f>
        <v>528</v>
      </c>
      <c r="K24" s="683">
        <f>'Fwy &amp; Tee Quantities '!K26</f>
        <v>14</v>
      </c>
      <c r="L24" s="684">
        <f t="shared" si="12"/>
        <v>7392</v>
      </c>
      <c r="M24" s="683">
        <v>1</v>
      </c>
      <c r="N24" s="685" t="s">
        <v>108</v>
      </c>
      <c r="O24" s="671">
        <f t="shared" si="3"/>
        <v>2867.7000000000003</v>
      </c>
      <c r="Q24" s="686"/>
      <c r="R24" s="786"/>
      <c r="S24" s="688"/>
      <c r="T24" s="688">
        <f>O24</f>
        <v>2867.7000000000003</v>
      </c>
      <c r="U24" s="571"/>
      <c r="V24" s="688">
        <f>O24</f>
        <v>2867.7000000000003</v>
      </c>
      <c r="W24" s="571"/>
      <c r="X24" s="571"/>
      <c r="Y24" s="760"/>
    </row>
    <row r="25" spans="1:28" x14ac:dyDescent="0.25">
      <c r="A25" s="682" t="s">
        <v>126</v>
      </c>
      <c r="B25" s="683" t="s">
        <v>164</v>
      </c>
      <c r="C25" s="683">
        <f>'Fwy &amp; Tee Quantities '!B27</f>
        <v>0</v>
      </c>
      <c r="D25" s="683">
        <v>5.5</v>
      </c>
      <c r="E25" s="724">
        <v>29</v>
      </c>
      <c r="F25" s="724">
        <v>1264</v>
      </c>
      <c r="G25" s="684">
        <f>H25/E25</f>
        <v>206.01293103448276</v>
      </c>
      <c r="H25" s="684">
        <f t="shared" si="10"/>
        <v>5974.375</v>
      </c>
      <c r="I25" s="684">
        <f t="shared" si="11"/>
        <v>0</v>
      </c>
      <c r="J25" s="718">
        <v>275</v>
      </c>
      <c r="K25" s="683">
        <f>'Fwy &amp; Tee Quantities '!K27</f>
        <v>0</v>
      </c>
      <c r="L25" s="684">
        <f t="shared" si="12"/>
        <v>0</v>
      </c>
      <c r="M25" s="683">
        <v>2.5</v>
      </c>
      <c r="N25" s="685" t="s">
        <v>108</v>
      </c>
      <c r="O25" s="671">
        <f t="shared" si="3"/>
        <v>5974.375</v>
      </c>
      <c r="Q25" s="686"/>
      <c r="R25" s="786"/>
      <c r="S25" s="571"/>
      <c r="T25" s="571"/>
      <c r="U25" s="688"/>
      <c r="V25" s="688"/>
      <c r="W25" s="571"/>
      <c r="X25" s="571"/>
      <c r="Y25" s="760"/>
    </row>
    <row r="26" spans="1:28" x14ac:dyDescent="0.25">
      <c r="A26" s="689" t="s">
        <v>35</v>
      </c>
      <c r="B26" s="690" t="s">
        <v>172</v>
      </c>
      <c r="C26" s="690">
        <f>'Fwy &amp; Tee Quantities '!B30</f>
        <v>1</v>
      </c>
      <c r="D26" s="690">
        <v>16</v>
      </c>
      <c r="E26" s="725">
        <v>29</v>
      </c>
      <c r="F26" s="725">
        <v>1264</v>
      </c>
      <c r="G26" s="691">
        <f>H26/E26</f>
        <v>32.1815</v>
      </c>
      <c r="H26" s="691">
        <f>D26*E26/128/M26*J26</f>
        <v>933.26349999999991</v>
      </c>
      <c r="I26" s="691">
        <f>H26*C26</f>
        <v>933.26349999999991</v>
      </c>
      <c r="J26" s="691">
        <f>'Total Order Sheet'!C92</f>
        <v>643.63</v>
      </c>
      <c r="K26" s="690">
        <f>'Fwy &amp; Tee Quantities '!K30</f>
        <v>0</v>
      </c>
      <c r="L26" s="692">
        <f>J26*K26</f>
        <v>0</v>
      </c>
      <c r="M26" s="690">
        <v>2.5</v>
      </c>
      <c r="N26" s="693" t="s">
        <v>108</v>
      </c>
      <c r="O26" s="671">
        <f t="shared" si="3"/>
        <v>933.26349999999991</v>
      </c>
      <c r="Q26" s="694"/>
      <c r="R26" s="992">
        <f>O26</f>
        <v>933.26349999999991</v>
      </c>
      <c r="S26" s="695"/>
      <c r="T26" s="579"/>
      <c r="U26" s="579"/>
      <c r="V26" s="579"/>
      <c r="W26" s="695"/>
      <c r="X26" s="579"/>
      <c r="Y26" s="761"/>
    </row>
    <row r="27" spans="1:28" x14ac:dyDescent="0.25">
      <c r="A27" s="689" t="s">
        <v>128</v>
      </c>
      <c r="B27" s="690" t="s">
        <v>173</v>
      </c>
      <c r="C27" s="690">
        <f>'Fwy &amp; Tee Quantities '!B31</f>
        <v>10</v>
      </c>
      <c r="D27" s="690">
        <v>3.5</v>
      </c>
      <c r="E27" s="725">
        <v>29</v>
      </c>
      <c r="F27" s="725">
        <v>1264</v>
      </c>
      <c r="G27" s="691">
        <f t="shared" ref="G27:G28" si="13">H27/E27</f>
        <v>3.609375</v>
      </c>
      <c r="H27" s="691">
        <f>D27*E27/128/M27*J27</f>
        <v>104.671875</v>
      </c>
      <c r="I27" s="691">
        <f t="shared" ref="I27:I28" si="14">H27*C27</f>
        <v>1046.71875</v>
      </c>
      <c r="J27" s="691">
        <v>330</v>
      </c>
      <c r="K27" s="690">
        <f>'Fwy &amp; Tee Quantities '!K31</f>
        <v>2</v>
      </c>
      <c r="L27" s="692">
        <f t="shared" ref="L27" si="15">J27*K27</f>
        <v>660</v>
      </c>
      <c r="M27" s="690">
        <v>2.5</v>
      </c>
      <c r="N27" s="693" t="s">
        <v>108</v>
      </c>
      <c r="O27" s="671">
        <f>H27</f>
        <v>104.671875</v>
      </c>
      <c r="Q27" s="694"/>
      <c r="R27" s="992">
        <f>O27</f>
        <v>104.671875</v>
      </c>
      <c r="S27" s="695">
        <f>O27*2</f>
        <v>209.34375</v>
      </c>
      <c r="T27" s="695">
        <f>O27*2</f>
        <v>209.34375</v>
      </c>
      <c r="U27" s="695">
        <f>O27*3</f>
        <v>314.015625</v>
      </c>
      <c r="V27" s="695">
        <f>O27*2</f>
        <v>209.34375</v>
      </c>
      <c r="W27" s="695">
        <f>O27*2</f>
        <v>209.34375</v>
      </c>
      <c r="X27" s="695">
        <f>O27*2</f>
        <v>209.34375</v>
      </c>
      <c r="Y27" s="761"/>
    </row>
    <row r="28" spans="1:28" x14ac:dyDescent="0.25">
      <c r="A28" s="689" t="s">
        <v>129</v>
      </c>
      <c r="B28" s="690" t="s">
        <v>168</v>
      </c>
      <c r="C28" s="690">
        <f>'Fwy &amp; Tee Quantities '!B32</f>
        <v>8</v>
      </c>
      <c r="D28" s="690">
        <v>0.75</v>
      </c>
      <c r="E28" s="725">
        <v>29</v>
      </c>
      <c r="F28" s="725">
        <v>1264</v>
      </c>
      <c r="G28" s="691">
        <f t="shared" si="13"/>
        <v>25.7578125</v>
      </c>
      <c r="H28" s="691">
        <f>D28*E28/M28*J28</f>
        <v>746.9765625</v>
      </c>
      <c r="I28" s="691">
        <f t="shared" si="14"/>
        <v>5975.8125</v>
      </c>
      <c r="J28" s="719">
        <f>'Total Order Sheet'!C72</f>
        <v>549.5</v>
      </c>
      <c r="K28" s="690">
        <f>'Fwy &amp; Tee Quantities '!K32</f>
        <v>8</v>
      </c>
      <c r="L28" s="692">
        <f>J28*K28</f>
        <v>4396</v>
      </c>
      <c r="M28" s="690">
        <v>16</v>
      </c>
      <c r="N28" s="693" t="s">
        <v>112</v>
      </c>
      <c r="O28" s="671">
        <f t="shared" si="3"/>
        <v>746.9765625</v>
      </c>
      <c r="Q28" s="694"/>
      <c r="R28" s="993"/>
      <c r="S28" s="695">
        <f>O28*2</f>
        <v>1493.953125</v>
      </c>
      <c r="T28" s="695">
        <f>O28*2</f>
        <v>1493.953125</v>
      </c>
      <c r="U28" s="695">
        <f>O28</f>
        <v>746.9765625</v>
      </c>
      <c r="V28" s="579"/>
      <c r="W28" s="695">
        <f>O28</f>
        <v>746.9765625</v>
      </c>
      <c r="X28" s="695">
        <f>O28*2</f>
        <v>1493.953125</v>
      </c>
      <c r="Y28" s="761"/>
    </row>
    <row r="29" spans="1:28" x14ac:dyDescent="0.25">
      <c r="A29" s="697" t="s">
        <v>14</v>
      </c>
      <c r="B29" s="698" t="s">
        <v>165</v>
      </c>
      <c r="C29" s="698">
        <f>'Fwy &amp; Tee Quantities '!B35</f>
        <v>16</v>
      </c>
      <c r="D29" s="698">
        <v>6</v>
      </c>
      <c r="E29" s="726">
        <v>29</v>
      </c>
      <c r="F29" s="726">
        <v>1264</v>
      </c>
      <c r="G29" s="699">
        <f>H29/E29</f>
        <v>14.156249999999998</v>
      </c>
      <c r="H29" s="699">
        <f>D29*E29/128/M29*J29</f>
        <v>410.53124999999994</v>
      </c>
      <c r="I29" s="699">
        <f>H29*C29</f>
        <v>6568.4999999999991</v>
      </c>
      <c r="J29" s="699">
        <f>'Total Order Sheet'!C10</f>
        <v>3020</v>
      </c>
      <c r="K29" s="698">
        <f>'Fwy &amp; Tee Quantities '!K35</f>
        <v>2.1749999999999998</v>
      </c>
      <c r="L29" s="699">
        <f>K29*J29</f>
        <v>6568.4999999999991</v>
      </c>
      <c r="M29" s="698">
        <v>10</v>
      </c>
      <c r="N29" s="700" t="s">
        <v>108</v>
      </c>
      <c r="O29" s="671">
        <f t="shared" si="3"/>
        <v>410.53124999999994</v>
      </c>
      <c r="Q29" s="703">
        <f>O29*2</f>
        <v>821.06249999999989</v>
      </c>
      <c r="R29" s="994"/>
      <c r="S29" s="702">
        <f>O29*2</f>
        <v>821.06249999999989</v>
      </c>
      <c r="T29" s="702">
        <f>O29*2</f>
        <v>821.06249999999989</v>
      </c>
      <c r="U29" s="702">
        <f>O29*3</f>
        <v>1231.5937499999998</v>
      </c>
      <c r="V29" s="702">
        <f>O29*4</f>
        <v>1642.1249999999998</v>
      </c>
      <c r="W29" s="702">
        <f>O29*2</f>
        <v>821.06249999999989</v>
      </c>
      <c r="X29" s="572"/>
      <c r="Y29" s="762"/>
    </row>
    <row r="30" spans="1:28" x14ac:dyDescent="0.25">
      <c r="A30" s="697" t="s">
        <v>52</v>
      </c>
      <c r="B30" s="698" t="s">
        <v>165</v>
      </c>
      <c r="C30" s="698">
        <f>'Fwy &amp; Tee Quantities '!B36</f>
        <v>13</v>
      </c>
      <c r="D30" s="698">
        <v>6</v>
      </c>
      <c r="E30" s="726">
        <v>29</v>
      </c>
      <c r="F30" s="726">
        <v>1264</v>
      </c>
      <c r="G30" s="699">
        <f t="shared" ref="G30:G31" si="16">H30/E30</f>
        <v>24.046874999999996</v>
      </c>
      <c r="H30" s="699">
        <f t="shared" ref="H30:H31" si="17">D30*E30/128/M30*J30</f>
        <v>697.35937499999989</v>
      </c>
      <c r="I30" s="699">
        <f t="shared" ref="I30:I32" si="18">H30*C30</f>
        <v>9065.6718749999982</v>
      </c>
      <c r="J30" s="699">
        <f>'Total Order Sheet'!C11</f>
        <v>1282.5</v>
      </c>
      <c r="K30" s="698">
        <f>'Fwy &amp; Tee Quantities '!K36</f>
        <v>0</v>
      </c>
      <c r="L30" s="699">
        <f t="shared" ref="L30" si="19">K30*J30</f>
        <v>0</v>
      </c>
      <c r="M30" s="698">
        <v>2.5</v>
      </c>
      <c r="N30" s="700" t="s">
        <v>108</v>
      </c>
      <c r="O30" s="671">
        <f t="shared" si="3"/>
        <v>697.35937499999989</v>
      </c>
      <c r="Q30" s="701"/>
      <c r="R30" s="995"/>
      <c r="S30" s="702">
        <f>O30*2</f>
        <v>1394.7187499999998</v>
      </c>
      <c r="T30" s="702">
        <f>O30*2</f>
        <v>1394.7187499999998</v>
      </c>
      <c r="U30" s="702">
        <f>O30*3</f>
        <v>2092.0781249999995</v>
      </c>
      <c r="V30" s="702">
        <f>O30*4</f>
        <v>2789.4374999999995</v>
      </c>
      <c r="W30" s="702">
        <f>O30*2</f>
        <v>1394.7187499999998</v>
      </c>
      <c r="X30" s="702"/>
      <c r="Y30" s="762"/>
    </row>
    <row r="31" spans="1:28" x14ac:dyDescent="0.25">
      <c r="A31" s="697" t="s">
        <v>50</v>
      </c>
      <c r="B31" s="698" t="s">
        <v>168</v>
      </c>
      <c r="C31" s="698">
        <f>'Fwy &amp; Tee Quantities '!B38</f>
        <v>14</v>
      </c>
      <c r="D31" s="698">
        <v>9</v>
      </c>
      <c r="E31" s="726">
        <v>29</v>
      </c>
      <c r="F31" s="726">
        <v>1264</v>
      </c>
      <c r="G31" s="699">
        <f t="shared" si="16"/>
        <v>21.382031250000001</v>
      </c>
      <c r="H31" s="699">
        <f t="shared" si="17"/>
        <v>620.07890625000005</v>
      </c>
      <c r="I31" s="699">
        <f t="shared" si="18"/>
        <v>8681.1046875000011</v>
      </c>
      <c r="J31" s="720">
        <f>'Total Order Sheet'!C71</f>
        <v>760.25</v>
      </c>
      <c r="K31" s="698">
        <f>'Fwy &amp; Tee Quantities '!K38</f>
        <v>5</v>
      </c>
      <c r="L31" s="699">
        <f>K31*J31</f>
        <v>3801.25</v>
      </c>
      <c r="M31" s="698">
        <v>2.5</v>
      </c>
      <c r="N31" s="700" t="s">
        <v>108</v>
      </c>
      <c r="O31" s="671">
        <f t="shared" si="3"/>
        <v>620.07890625000005</v>
      </c>
      <c r="Q31" s="701"/>
      <c r="R31" s="995"/>
      <c r="S31" s="702">
        <f>O31*2</f>
        <v>1240.1578125000001</v>
      </c>
      <c r="T31" s="702">
        <f>O31*2</f>
        <v>1240.1578125000001</v>
      </c>
      <c r="U31" s="702">
        <f>O31*3</f>
        <v>1860.2367187500001</v>
      </c>
      <c r="V31" s="702">
        <f>O31*4</f>
        <v>2480.3156250000002</v>
      </c>
      <c r="W31" s="702">
        <f>O31*2</f>
        <v>1240.1578125000001</v>
      </c>
      <c r="X31" s="702">
        <f>O31</f>
        <v>620.07890625000005</v>
      </c>
      <c r="Y31" s="762"/>
    </row>
    <row r="32" spans="1:28" x14ac:dyDescent="0.25">
      <c r="A32" s="697" t="s">
        <v>11</v>
      </c>
      <c r="B32" s="698" t="s">
        <v>164</v>
      </c>
      <c r="C32" s="698">
        <f>'Fwy &amp; Tee Quantities '!B37</f>
        <v>3</v>
      </c>
      <c r="D32" s="698">
        <f>'Fwy &amp; Tee Quantities '!C37</f>
        <v>5</v>
      </c>
      <c r="E32" s="726">
        <v>26</v>
      </c>
      <c r="F32" s="726">
        <v>1132</v>
      </c>
      <c r="G32" s="699">
        <f>H32/E32</f>
        <v>87.757211538461533</v>
      </c>
      <c r="H32" s="699">
        <f>D32*F32/128/M32*J32</f>
        <v>2281.6875</v>
      </c>
      <c r="I32" s="699">
        <f t="shared" si="18"/>
        <v>6845.0625</v>
      </c>
      <c r="J32" s="720">
        <f>'Total Order Sheet'!C35</f>
        <v>129</v>
      </c>
      <c r="K32" s="698">
        <f>'Fwy &amp; Tee Quantities '!K37</f>
        <v>53</v>
      </c>
      <c r="L32" s="699">
        <f>K32*J32</f>
        <v>6837</v>
      </c>
      <c r="M32" s="698">
        <v>2.5</v>
      </c>
      <c r="N32" s="700" t="s">
        <v>108</v>
      </c>
      <c r="O32" s="671">
        <f t="shared" si="3"/>
        <v>2281.6875</v>
      </c>
      <c r="Q32" s="703">
        <f>O32*2</f>
        <v>4563.375</v>
      </c>
      <c r="R32" s="995"/>
      <c r="S32" s="702"/>
      <c r="T32" s="702"/>
      <c r="U32" s="702"/>
      <c r="V32" s="702"/>
      <c r="W32" s="702"/>
      <c r="X32" s="702"/>
      <c r="Y32" s="1510">
        <f>O32</f>
        <v>2281.6875</v>
      </c>
    </row>
    <row r="33" spans="1:25" x14ac:dyDescent="0.25">
      <c r="A33" s="704" t="s">
        <v>32</v>
      </c>
      <c r="B33" s="705" t="s">
        <v>174</v>
      </c>
      <c r="C33" s="705">
        <f>'Fwy &amp; Tee Quantities '!B41</f>
        <v>6</v>
      </c>
      <c r="D33" s="705">
        <v>4</v>
      </c>
      <c r="E33" s="705">
        <v>26</v>
      </c>
      <c r="F33" s="705">
        <v>1132.56</v>
      </c>
      <c r="G33" s="706">
        <f>H33/E33</f>
        <v>197.92574999999999</v>
      </c>
      <c r="H33" s="706">
        <f>D33*F33/128/M33*J33</f>
        <v>5146.0694999999996</v>
      </c>
      <c r="I33" s="706">
        <f>H33*C33</f>
        <v>30876.416999999998</v>
      </c>
      <c r="J33" s="706">
        <f>'Total Order Sheet'!C105</f>
        <v>7997</v>
      </c>
      <c r="K33" s="705">
        <f>'Fwy &amp; Tee Quantities '!K41</f>
        <v>4</v>
      </c>
      <c r="L33" s="706">
        <f>K33*J33</f>
        <v>31988</v>
      </c>
      <c r="M33" s="705">
        <v>55</v>
      </c>
      <c r="N33" s="707" t="s">
        <v>108</v>
      </c>
      <c r="O33" s="671">
        <f t="shared" si="3"/>
        <v>5146.0694999999996</v>
      </c>
      <c r="Q33" s="708"/>
      <c r="R33" s="996"/>
      <c r="S33" s="709">
        <f>O33</f>
        <v>5146.0694999999996</v>
      </c>
      <c r="T33" s="709">
        <f>O33</f>
        <v>5146.0694999999996</v>
      </c>
      <c r="U33" s="709">
        <f>O33</f>
        <v>5146.0694999999996</v>
      </c>
      <c r="V33" s="709">
        <f>O33</f>
        <v>5146.0694999999996</v>
      </c>
      <c r="W33" s="709">
        <f>O33</f>
        <v>5146.0694999999996</v>
      </c>
      <c r="X33" s="593"/>
      <c r="Y33" s="763"/>
    </row>
    <row r="34" spans="1:25" x14ac:dyDescent="0.25">
      <c r="A34" s="704" t="s">
        <v>63</v>
      </c>
      <c r="B34" s="705" t="s">
        <v>175</v>
      </c>
      <c r="C34" s="705">
        <f>'Fwy &amp; Tee Quantities '!B42</f>
        <v>3</v>
      </c>
      <c r="D34" s="705">
        <v>0.5</v>
      </c>
      <c r="E34" s="705">
        <v>26</v>
      </c>
      <c r="F34" s="705">
        <v>1132.56</v>
      </c>
      <c r="G34" s="706">
        <f t="shared" ref="G34:G35" si="20">H34/E34</f>
        <v>13.077723214285713</v>
      </c>
      <c r="H34" s="706">
        <f t="shared" ref="H34:H35" si="21">D34*F34/128/M34*J34</f>
        <v>340.02080357142853</v>
      </c>
      <c r="I34" s="706">
        <f t="shared" ref="I34:I35" si="22">H34*C34</f>
        <v>1020.0624107142855</v>
      </c>
      <c r="J34" s="706">
        <f>'Total Order Sheet'!C108</f>
        <v>2690</v>
      </c>
      <c r="K34" s="705">
        <f>'Fwy &amp; Tee Quantities '!K42</f>
        <v>1</v>
      </c>
      <c r="L34" s="706">
        <f t="shared" ref="L34:L35" si="23">K34*J34</f>
        <v>2690</v>
      </c>
      <c r="M34" s="705">
        <v>35</v>
      </c>
      <c r="N34" s="707" t="s">
        <v>108</v>
      </c>
      <c r="O34" s="671">
        <f t="shared" si="3"/>
        <v>340.02080357142853</v>
      </c>
      <c r="Q34" s="708"/>
      <c r="R34" s="996"/>
      <c r="S34" s="709"/>
      <c r="T34" s="709">
        <f>O34</f>
        <v>340.02080357142853</v>
      </c>
      <c r="U34" s="709"/>
      <c r="V34" s="709">
        <f>O34</f>
        <v>340.02080357142853</v>
      </c>
      <c r="W34" s="709">
        <f>O34</f>
        <v>340.02080357142853</v>
      </c>
      <c r="X34" s="593"/>
      <c r="Y34" s="763"/>
    </row>
    <row r="35" spans="1:25" x14ac:dyDescent="0.25">
      <c r="A35" s="704" t="s">
        <v>133</v>
      </c>
      <c r="B35" s="705" t="s">
        <v>175</v>
      </c>
      <c r="C35" s="705">
        <f>'Fwy &amp; Tee Quantities '!B43</f>
        <v>6</v>
      </c>
      <c r="D35" s="705">
        <v>4</v>
      </c>
      <c r="E35" s="705">
        <v>3</v>
      </c>
      <c r="F35" s="705">
        <v>130.68</v>
      </c>
      <c r="G35" s="706">
        <f t="shared" si="20"/>
        <v>114.73392857142858</v>
      </c>
      <c r="H35" s="706">
        <f t="shared" si="21"/>
        <v>344.20178571428573</v>
      </c>
      <c r="I35" s="706">
        <f t="shared" si="22"/>
        <v>2065.2107142857144</v>
      </c>
      <c r="J35" s="706">
        <f>'Total Order Sheet'!C109</f>
        <v>2950</v>
      </c>
      <c r="K35" s="705">
        <f>'Fwy &amp; Tee Quantities '!K43</f>
        <v>1</v>
      </c>
      <c r="L35" s="706">
        <f t="shared" si="23"/>
        <v>2950</v>
      </c>
      <c r="M35" s="705">
        <v>35</v>
      </c>
      <c r="N35" s="707" t="s">
        <v>108</v>
      </c>
      <c r="O35" s="671">
        <f>H35</f>
        <v>344.20178571428573</v>
      </c>
      <c r="Q35" s="708"/>
      <c r="R35" s="997"/>
      <c r="S35" s="593"/>
      <c r="T35" s="593"/>
      <c r="U35" s="593"/>
      <c r="V35" s="593"/>
      <c r="W35" s="593"/>
      <c r="X35" s="593"/>
      <c r="Y35" s="763"/>
    </row>
    <row r="36" spans="1:25" x14ac:dyDescent="0.25">
      <c r="A36" s="1401" t="s">
        <v>138</v>
      </c>
      <c r="B36" s="1402" t="s">
        <v>176</v>
      </c>
      <c r="C36" s="1402">
        <f>'Fwy &amp; Tee Quantities '!B47</f>
        <v>18</v>
      </c>
      <c r="D36" s="1402">
        <v>1.8</v>
      </c>
      <c r="E36" s="1402">
        <v>29</v>
      </c>
      <c r="F36" s="1402">
        <f>ROUNDUP(E36*43.56,0)</f>
        <v>1264</v>
      </c>
      <c r="G36" s="1403">
        <f>H36/E36</f>
        <v>13.484482758620691</v>
      </c>
      <c r="H36" s="1403">
        <f>D36*F36/128/M36*J36</f>
        <v>391.05000000000007</v>
      </c>
      <c r="I36" s="1403">
        <f>H36*C36</f>
        <v>7038.9000000000015</v>
      </c>
      <c r="J36" s="1403">
        <v>55</v>
      </c>
      <c r="K36" s="1402">
        <v>17</v>
      </c>
      <c r="L36" s="1403">
        <f>J36*K36</f>
        <v>935</v>
      </c>
      <c r="M36" s="1402">
        <v>2.5</v>
      </c>
      <c r="N36" s="1404" t="s">
        <v>108</v>
      </c>
      <c r="O36" s="671">
        <f t="shared" si="3"/>
        <v>391.05000000000007</v>
      </c>
      <c r="Q36" s="1411"/>
      <c r="R36" s="1412">
        <f>O36</f>
        <v>391.05000000000007</v>
      </c>
      <c r="S36" s="1413">
        <f>O36*2</f>
        <v>782.10000000000014</v>
      </c>
      <c r="T36" s="1413">
        <f>O36*2</f>
        <v>782.10000000000014</v>
      </c>
      <c r="U36" s="1413">
        <f>O36*3</f>
        <v>1173.1500000000001</v>
      </c>
      <c r="V36" s="1413">
        <f>O36*4</f>
        <v>1564.2000000000003</v>
      </c>
      <c r="W36" s="1413">
        <f>O36*2</f>
        <v>782.10000000000014</v>
      </c>
      <c r="X36" s="1413">
        <f>O36*2</f>
        <v>782.10000000000014</v>
      </c>
      <c r="Y36" s="1511">
        <f>O36</f>
        <v>391.05000000000007</v>
      </c>
    </row>
    <row r="37" spans="1:25" x14ac:dyDescent="0.25">
      <c r="A37" s="1401" t="s">
        <v>139</v>
      </c>
      <c r="B37" s="1402" t="s">
        <v>176</v>
      </c>
      <c r="C37" s="1402">
        <f>'Fwy &amp; Tee Quantities '!B48</f>
        <v>18</v>
      </c>
      <c r="D37" s="1402">
        <v>1.8</v>
      </c>
      <c r="E37" s="1402">
        <v>29</v>
      </c>
      <c r="F37" s="1402">
        <f t="shared" ref="F37:F41" si="24">ROUNDUP(E37*43.56,0)</f>
        <v>1264</v>
      </c>
      <c r="G37" s="1403">
        <f t="shared" ref="G37:G40" si="25">H37/E37</f>
        <v>22.065517241379315</v>
      </c>
      <c r="H37" s="1403">
        <f t="shared" ref="H37:H40" si="26">D37*F37/128/M37*J37</f>
        <v>639.90000000000009</v>
      </c>
      <c r="I37" s="1403">
        <f t="shared" ref="I37:I42" si="27">H37*C37</f>
        <v>11518.2</v>
      </c>
      <c r="J37" s="1403">
        <v>90</v>
      </c>
      <c r="K37" s="1402">
        <v>17</v>
      </c>
      <c r="L37" s="1403">
        <f t="shared" ref="L37:L42" si="28">J37*K37</f>
        <v>1530</v>
      </c>
      <c r="M37" s="1402">
        <v>2.5</v>
      </c>
      <c r="N37" s="1404" t="s">
        <v>108</v>
      </c>
      <c r="O37" s="671">
        <f>H37</f>
        <v>639.90000000000009</v>
      </c>
      <c r="Q37" s="1411"/>
      <c r="R37" s="1412">
        <f>O37*2</f>
        <v>1279.8000000000002</v>
      </c>
      <c r="S37" s="1413">
        <f>O37*2</f>
        <v>1279.8000000000002</v>
      </c>
      <c r="T37" s="1413">
        <f>O37*2</f>
        <v>1279.8000000000002</v>
      </c>
      <c r="U37" s="1413">
        <f>O37*3</f>
        <v>1919.7000000000003</v>
      </c>
      <c r="V37" s="1413">
        <f>O37*4</f>
        <v>2559.6000000000004</v>
      </c>
      <c r="W37" s="1413">
        <f>O37*2</f>
        <v>1279.8000000000002</v>
      </c>
      <c r="X37" s="1413">
        <f>O37*2</f>
        <v>1279.8000000000002</v>
      </c>
      <c r="Y37" s="1511">
        <f>O37</f>
        <v>639.90000000000009</v>
      </c>
    </row>
    <row r="38" spans="1:25" x14ac:dyDescent="0.25">
      <c r="A38" s="1401" t="s">
        <v>140</v>
      </c>
      <c r="B38" s="1402" t="s">
        <v>176</v>
      </c>
      <c r="C38" s="1402">
        <f>'Fwy &amp; Tee Quantities '!B49</f>
        <v>14</v>
      </c>
      <c r="D38" s="1402">
        <v>1.8</v>
      </c>
      <c r="E38" s="1402">
        <v>29</v>
      </c>
      <c r="F38" s="1402">
        <f t="shared" si="24"/>
        <v>1264</v>
      </c>
      <c r="G38" s="1403">
        <f t="shared" si="25"/>
        <v>40.821206896551736</v>
      </c>
      <c r="H38" s="1403">
        <f t="shared" si="26"/>
        <v>1183.8150000000003</v>
      </c>
      <c r="I38" s="1403">
        <f t="shared" si="27"/>
        <v>16573.410000000003</v>
      </c>
      <c r="J38" s="1403">
        <v>166.5</v>
      </c>
      <c r="K38" s="1402">
        <v>17</v>
      </c>
      <c r="L38" s="1403">
        <f t="shared" si="28"/>
        <v>2830.5</v>
      </c>
      <c r="M38" s="1402">
        <v>2.5</v>
      </c>
      <c r="N38" s="1404" t="s">
        <v>108</v>
      </c>
      <c r="O38" s="671">
        <f t="shared" si="3"/>
        <v>1183.8150000000003</v>
      </c>
      <c r="Q38" s="1411"/>
      <c r="R38" s="1412">
        <f>O38</f>
        <v>1183.8150000000003</v>
      </c>
      <c r="S38" s="1413">
        <f>O38*2</f>
        <v>2367.6300000000006</v>
      </c>
      <c r="T38" s="1413">
        <f>O38*2</f>
        <v>2367.6300000000006</v>
      </c>
      <c r="U38" s="1413">
        <f>O38*3</f>
        <v>3551.4450000000006</v>
      </c>
      <c r="V38" s="1413">
        <f>O38*4</f>
        <v>4735.2600000000011</v>
      </c>
      <c r="W38" s="1413">
        <f>O38*2</f>
        <v>2367.6300000000006</v>
      </c>
      <c r="X38" s="1414"/>
      <c r="Y38" s="1435"/>
    </row>
    <row r="39" spans="1:25" x14ac:dyDescent="0.25">
      <c r="A39" s="1401" t="s">
        <v>141</v>
      </c>
      <c r="B39" s="1402" t="s">
        <v>176</v>
      </c>
      <c r="C39" s="1402">
        <f>'Fwy &amp; Tee Quantities '!B50</f>
        <v>18</v>
      </c>
      <c r="D39" s="1402">
        <v>0.75</v>
      </c>
      <c r="E39" s="1402">
        <v>29</v>
      </c>
      <c r="F39" s="1402">
        <f t="shared" si="24"/>
        <v>1264</v>
      </c>
      <c r="G39" s="1403">
        <f t="shared" si="25"/>
        <v>4.8523706896551726</v>
      </c>
      <c r="H39" s="1403">
        <f t="shared" si="26"/>
        <v>140.71875</v>
      </c>
      <c r="I39" s="1403">
        <f t="shared" si="27"/>
        <v>2532.9375</v>
      </c>
      <c r="J39" s="1403">
        <v>47.5</v>
      </c>
      <c r="K39" s="1402">
        <v>17</v>
      </c>
      <c r="L39" s="1403">
        <f t="shared" si="28"/>
        <v>807.5</v>
      </c>
      <c r="M39" s="1402">
        <v>2.5</v>
      </c>
      <c r="N39" s="1404" t="s">
        <v>108</v>
      </c>
      <c r="O39" s="671">
        <f t="shared" si="3"/>
        <v>140.71875</v>
      </c>
      <c r="Q39" s="1411"/>
      <c r="R39" s="1412">
        <f>O39*2</f>
        <v>281.4375</v>
      </c>
      <c r="S39" s="1413">
        <f>O39*2</f>
        <v>281.4375</v>
      </c>
      <c r="T39" s="1413">
        <f>O39*2</f>
        <v>281.4375</v>
      </c>
      <c r="U39" s="1413">
        <f>O39*3</f>
        <v>422.15625</v>
      </c>
      <c r="V39" s="1413">
        <f>O39*4</f>
        <v>562.875</v>
      </c>
      <c r="W39" s="1413">
        <f>O39*2</f>
        <v>281.4375</v>
      </c>
      <c r="X39" s="1413">
        <f>O39*2</f>
        <v>281.4375</v>
      </c>
      <c r="Y39" s="1511">
        <f>O39</f>
        <v>140.71875</v>
      </c>
    </row>
    <row r="40" spans="1:25" x14ac:dyDescent="0.25">
      <c r="A40" s="1401" t="s">
        <v>142</v>
      </c>
      <c r="B40" s="1402" t="s">
        <v>176</v>
      </c>
      <c r="C40" s="1402">
        <f>'Fwy &amp; Tee Quantities '!B51</f>
        <v>9</v>
      </c>
      <c r="D40" s="1402">
        <v>0.5</v>
      </c>
      <c r="E40" s="1402">
        <v>29</v>
      </c>
      <c r="F40" s="1402">
        <f t="shared" si="24"/>
        <v>1264</v>
      </c>
      <c r="G40" s="1403">
        <f t="shared" si="25"/>
        <v>20.771551724137932</v>
      </c>
      <c r="H40" s="1403">
        <f t="shared" si="26"/>
        <v>602.375</v>
      </c>
      <c r="I40" s="1403">
        <f t="shared" si="27"/>
        <v>5421.375</v>
      </c>
      <c r="J40" s="1403">
        <v>305</v>
      </c>
      <c r="K40" s="1402">
        <v>8</v>
      </c>
      <c r="L40" s="1403">
        <f t="shared" si="28"/>
        <v>2440</v>
      </c>
      <c r="M40" s="1402">
        <v>2.5</v>
      </c>
      <c r="N40" s="1404" t="s">
        <v>108</v>
      </c>
      <c r="O40" s="671">
        <f t="shared" si="3"/>
        <v>602.375</v>
      </c>
      <c r="Q40" s="1411"/>
      <c r="R40" s="1412">
        <f>O40</f>
        <v>602.375</v>
      </c>
      <c r="S40" s="1413">
        <f>O40</f>
        <v>602.375</v>
      </c>
      <c r="T40" s="1413">
        <f>O40</f>
        <v>602.375</v>
      </c>
      <c r="U40" s="1413">
        <f>O40</f>
        <v>602.375</v>
      </c>
      <c r="V40" s="1413">
        <f>O40*3</f>
        <v>1807.125</v>
      </c>
      <c r="W40" s="1413">
        <f>O40</f>
        <v>602.375</v>
      </c>
      <c r="X40" s="1413">
        <f>O40</f>
        <v>602.375</v>
      </c>
      <c r="Y40" s="1435"/>
    </row>
    <row r="41" spans="1:25" x14ac:dyDescent="0.25">
      <c r="A41" s="1500" t="s">
        <v>143</v>
      </c>
      <c r="B41" s="1501" t="s">
        <v>176</v>
      </c>
      <c r="C41" s="1501">
        <f>'Fwy &amp; Tee Quantities '!B52</f>
        <v>9</v>
      </c>
      <c r="D41" s="1501">
        <v>0.5</v>
      </c>
      <c r="E41" s="1501">
        <v>29</v>
      </c>
      <c r="F41" s="1501">
        <f t="shared" si="24"/>
        <v>1264</v>
      </c>
      <c r="G41" s="1502">
        <f>H41/E41</f>
        <v>13.620689655172415</v>
      </c>
      <c r="H41" s="1502">
        <f>D41*F41/128/M41*J41</f>
        <v>395</v>
      </c>
      <c r="I41" s="1502">
        <f t="shared" si="27"/>
        <v>3555</v>
      </c>
      <c r="J41" s="1502">
        <v>200</v>
      </c>
      <c r="K41" s="1501">
        <v>9</v>
      </c>
      <c r="L41" s="1502">
        <f t="shared" si="28"/>
        <v>1800</v>
      </c>
      <c r="M41" s="1501">
        <v>2.5</v>
      </c>
      <c r="N41" s="1503" t="s">
        <v>108</v>
      </c>
      <c r="O41" s="1504">
        <f>H41</f>
        <v>395</v>
      </c>
      <c r="Q41" s="1506"/>
      <c r="R41" s="1507">
        <f>O41</f>
        <v>395</v>
      </c>
      <c r="S41" s="1508">
        <f>O41</f>
        <v>395</v>
      </c>
      <c r="T41" s="1508">
        <f>O41</f>
        <v>395</v>
      </c>
      <c r="U41" s="1508">
        <f>O41*2</f>
        <v>790</v>
      </c>
      <c r="V41" s="1508">
        <f>O41</f>
        <v>395</v>
      </c>
      <c r="W41" s="1508">
        <f>O41</f>
        <v>395</v>
      </c>
      <c r="X41" s="1508">
        <f>O41</f>
        <v>395</v>
      </c>
      <c r="Y41" s="1512">
        <f>O41</f>
        <v>395</v>
      </c>
    </row>
    <row r="42" spans="1:25" x14ac:dyDescent="0.25">
      <c r="A42" s="1419" t="s">
        <v>144</v>
      </c>
      <c r="B42" s="1419" t="s">
        <v>177</v>
      </c>
      <c r="C42" s="1419">
        <f>'Fwy &amp; Tee Quantities '!B53</f>
        <v>8</v>
      </c>
      <c r="D42" s="1419">
        <v>1.8</v>
      </c>
      <c r="E42" s="1419">
        <v>7</v>
      </c>
      <c r="F42" s="1419">
        <v>130</v>
      </c>
      <c r="G42" s="1407">
        <f>H42/E42</f>
        <v>23.916575892857139</v>
      </c>
      <c r="H42" s="1407">
        <f>D42*F42/128/M42*J42</f>
        <v>167.41603124999997</v>
      </c>
      <c r="I42" s="1407">
        <f t="shared" si="27"/>
        <v>1339.3282499999998</v>
      </c>
      <c r="J42" s="1437">
        <v>457.89</v>
      </c>
      <c r="K42" s="1419">
        <f>'Fwy &amp; Tee Quantities '!L53</f>
        <v>7</v>
      </c>
      <c r="L42" s="1407">
        <f t="shared" si="28"/>
        <v>3205.23</v>
      </c>
      <c r="M42" s="1419">
        <v>5</v>
      </c>
      <c r="N42" s="1499" t="s">
        <v>108</v>
      </c>
      <c r="O42" s="1505">
        <f>H42</f>
        <v>167.41603124999997</v>
      </c>
      <c r="Q42" s="1415"/>
      <c r="R42" s="1416">
        <f>O42</f>
        <v>167.41603124999997</v>
      </c>
      <c r="S42" s="1416">
        <f>O42</f>
        <v>167.41603124999997</v>
      </c>
      <c r="T42" s="1416">
        <f>O42*2</f>
        <v>334.83206249999995</v>
      </c>
      <c r="U42" s="1416">
        <f>O42*2</f>
        <v>334.83206249999995</v>
      </c>
      <c r="V42" s="1416">
        <f>O42</f>
        <v>167.41603124999997</v>
      </c>
      <c r="W42" s="1416">
        <f>O42</f>
        <v>167.41603124999997</v>
      </c>
      <c r="X42" s="1419"/>
      <c r="Y42" s="1466"/>
    </row>
    <row r="43" spans="1:25" x14ac:dyDescent="0.25">
      <c r="Q43" t="s">
        <v>178</v>
      </c>
      <c r="R43" t="s">
        <v>179</v>
      </c>
      <c r="S43" t="s">
        <v>180</v>
      </c>
      <c r="T43" t="s">
        <v>181</v>
      </c>
      <c r="U43" t="s">
        <v>182</v>
      </c>
      <c r="V43" t="s">
        <v>183</v>
      </c>
      <c r="W43" t="s">
        <v>184</v>
      </c>
      <c r="X43" t="s">
        <v>185</v>
      </c>
      <c r="Y43" t="s">
        <v>186</v>
      </c>
    </row>
    <row r="44" spans="1:25" x14ac:dyDescent="0.25">
      <c r="Q44" s="711">
        <f>SUM(Q3:Q41)</f>
        <v>5384.4375</v>
      </c>
      <c r="R44" s="711">
        <f t="shared" ref="R44:W44" si="29">SUM(R3:R42)</f>
        <v>26039.143072916664</v>
      </c>
      <c r="S44" s="711">
        <f t="shared" si="29"/>
        <v>44509.278968750004</v>
      </c>
      <c r="T44" s="711">
        <f t="shared" si="29"/>
        <v>35144.174136904752</v>
      </c>
      <c r="U44" s="711">
        <f t="shared" si="29"/>
        <v>61663.332760416655</v>
      </c>
      <c r="V44" s="711">
        <f t="shared" si="29"/>
        <v>56390.1848764881</v>
      </c>
      <c r="W44" s="712">
        <f t="shared" si="29"/>
        <v>22996.683209821425</v>
      </c>
      <c r="X44" s="711">
        <f>SUM(X3:X41)</f>
        <v>15351.700281250003</v>
      </c>
      <c r="Y44" s="711">
        <f>SUM(Y3:Y41)</f>
        <v>13328.356249999999</v>
      </c>
    </row>
    <row r="46" spans="1:25" x14ac:dyDescent="0.25">
      <c r="S46" s="610" t="s">
        <v>187</v>
      </c>
      <c r="T46" s="1134">
        <f>SUM(Q44:Y44)</f>
        <v>280807.29105654766</v>
      </c>
    </row>
    <row r="48" spans="1:25" x14ac:dyDescent="0.25">
      <c r="A48" s="552"/>
      <c r="B48" s="553" t="s">
        <v>155</v>
      </c>
      <c r="C48" s="553" t="s">
        <v>188</v>
      </c>
      <c r="D48" s="553" t="s">
        <v>157</v>
      </c>
      <c r="E48" s="553" t="s">
        <v>158</v>
      </c>
      <c r="F48" s="553" t="s">
        <v>159</v>
      </c>
      <c r="G48" s="553" t="s">
        <v>160</v>
      </c>
      <c r="H48" s="553" t="s">
        <v>161</v>
      </c>
      <c r="I48" s="553" t="s">
        <v>162</v>
      </c>
      <c r="J48" s="555" t="s">
        <v>163</v>
      </c>
      <c r="K48" t="s">
        <v>189</v>
      </c>
    </row>
    <row r="49" spans="1:11" x14ac:dyDescent="0.25">
      <c r="A49" s="674" t="s">
        <v>99</v>
      </c>
      <c r="B49" s="713">
        <f t="shared" ref="B49:J49" si="30">SUM(Q3:Q19)</f>
        <v>0</v>
      </c>
      <c r="C49" s="713">
        <f t="shared" si="30"/>
        <v>14277.021666666667</v>
      </c>
      <c r="D49" s="713">
        <f t="shared" si="30"/>
        <v>20092.465000000004</v>
      </c>
      <c r="E49" s="713">
        <f t="shared" si="30"/>
        <v>9215.2233333333334</v>
      </c>
      <c r="F49" s="713">
        <f t="shared" si="30"/>
        <v>30280.107499999998</v>
      </c>
      <c r="G49" s="713">
        <f t="shared" si="30"/>
        <v>29123.696666666667</v>
      </c>
      <c r="H49" s="713">
        <f t="shared" si="30"/>
        <v>7222.5750000000007</v>
      </c>
      <c r="I49" s="713">
        <f t="shared" si="30"/>
        <v>9687.612000000001</v>
      </c>
      <c r="J49" s="1136">
        <f t="shared" si="30"/>
        <v>9480</v>
      </c>
      <c r="K49" s="714">
        <f>C49+D49+E49+F49+G49+H49+I49+J49+B49</f>
        <v>129378.70116666667</v>
      </c>
    </row>
    <row r="50" spans="1:11" x14ac:dyDescent="0.25">
      <c r="A50" s="1420" t="s">
        <v>190</v>
      </c>
      <c r="B50" s="713">
        <f t="shared" ref="B50:J50" si="31">SUM(Q20:Q25)</f>
        <v>0</v>
      </c>
      <c r="C50" s="713">
        <f t="shared" si="31"/>
        <v>6423.2925000000005</v>
      </c>
      <c r="D50" s="713">
        <f t="shared" si="31"/>
        <v>8235.75</v>
      </c>
      <c r="E50" s="713">
        <f t="shared" si="31"/>
        <v>9240.4500000000007</v>
      </c>
      <c r="F50" s="713">
        <f t="shared" si="31"/>
        <v>11198.596666666668</v>
      </c>
      <c r="G50" s="713">
        <f t="shared" si="31"/>
        <v>2867.7000000000003</v>
      </c>
      <c r="H50" s="713">
        <f t="shared" si="31"/>
        <v>0</v>
      </c>
      <c r="I50" s="713">
        <f t="shared" si="31"/>
        <v>0</v>
      </c>
      <c r="J50" s="1136">
        <f t="shared" si="31"/>
        <v>0</v>
      </c>
      <c r="K50" s="714">
        <f>C50+D50+E50+F50+G50+H50+I50+J50+B50</f>
        <v>37965.789166666669</v>
      </c>
    </row>
    <row r="51" spans="1:11" x14ac:dyDescent="0.25">
      <c r="A51" s="696" t="s">
        <v>191</v>
      </c>
      <c r="B51" s="1418">
        <f t="shared" ref="B51:J51" si="32">SUM(Q26:Q28)</f>
        <v>0</v>
      </c>
      <c r="C51" s="1417">
        <f t="shared" si="32"/>
        <v>1037.935375</v>
      </c>
      <c r="D51" s="1417">
        <f t="shared" si="32"/>
        <v>1703.296875</v>
      </c>
      <c r="E51" s="1417">
        <f t="shared" si="32"/>
        <v>1703.296875</v>
      </c>
      <c r="F51" s="1417">
        <f t="shared" si="32"/>
        <v>1060.9921875</v>
      </c>
      <c r="G51" s="1417">
        <f t="shared" si="32"/>
        <v>209.34375</v>
      </c>
      <c r="H51" s="1417">
        <f t="shared" si="32"/>
        <v>956.3203125</v>
      </c>
      <c r="I51" s="1417">
        <f t="shared" si="32"/>
        <v>1703.296875</v>
      </c>
      <c r="J51" s="1421">
        <f t="shared" si="32"/>
        <v>0</v>
      </c>
      <c r="K51" s="714">
        <f>C51+D51+E51+F51+G51+H51+I51+J51+B51</f>
        <v>8374.4822500000009</v>
      </c>
    </row>
    <row r="52" spans="1:11" x14ac:dyDescent="0.25">
      <c r="A52" s="701" t="s">
        <v>192</v>
      </c>
      <c r="B52" s="1409">
        <f t="shared" ref="B52:J52" si="33">SUM(Q29:Q32)</f>
        <v>5384.4375</v>
      </c>
      <c r="C52" s="713">
        <f t="shared" si="33"/>
        <v>0</v>
      </c>
      <c r="D52" s="713">
        <f t="shared" si="33"/>
        <v>3455.9390624999996</v>
      </c>
      <c r="E52" s="713">
        <f t="shared" si="33"/>
        <v>3455.9390624999996</v>
      </c>
      <c r="F52" s="713">
        <f t="shared" si="33"/>
        <v>5183.9085937499995</v>
      </c>
      <c r="G52" s="713">
        <f t="shared" si="33"/>
        <v>6911.8781249999993</v>
      </c>
      <c r="H52" s="713">
        <f t="shared" si="33"/>
        <v>3455.9390624999996</v>
      </c>
      <c r="I52" s="713">
        <f t="shared" si="33"/>
        <v>620.07890625000005</v>
      </c>
      <c r="J52" s="1136">
        <f t="shared" si="33"/>
        <v>2281.6875</v>
      </c>
      <c r="K52" s="714">
        <f>C52+D52+E52+F52+G52+H52+I52+J52+B52</f>
        <v>30749.807812499999</v>
      </c>
    </row>
    <row r="53" spans="1:11" x14ac:dyDescent="0.25">
      <c r="A53" s="1422" t="s">
        <v>193</v>
      </c>
      <c r="B53" s="1409">
        <f t="shared" ref="B53:J53" si="34">SUM(Q33:Q35)</f>
        <v>0</v>
      </c>
      <c r="C53" s="713">
        <f t="shared" si="34"/>
        <v>0</v>
      </c>
      <c r="D53" s="713">
        <f t="shared" si="34"/>
        <v>5146.0694999999996</v>
      </c>
      <c r="E53" s="713">
        <f t="shared" si="34"/>
        <v>5486.0903035714282</v>
      </c>
      <c r="F53" s="713">
        <f t="shared" si="34"/>
        <v>5146.0694999999996</v>
      </c>
      <c r="G53" s="713">
        <f t="shared" si="34"/>
        <v>5486.0903035714282</v>
      </c>
      <c r="H53" s="713">
        <f t="shared" si="34"/>
        <v>5486.0903035714282</v>
      </c>
      <c r="I53" s="713">
        <f t="shared" si="34"/>
        <v>0</v>
      </c>
      <c r="J53" s="1136">
        <f t="shared" si="34"/>
        <v>0</v>
      </c>
      <c r="K53" s="714">
        <f>C53+D53+E53+F53+G53+H53+I53+J53+B53</f>
        <v>26750.409910714283</v>
      </c>
    </row>
    <row r="54" spans="1:11" x14ac:dyDescent="0.25">
      <c r="A54" s="1415" t="s">
        <v>194</v>
      </c>
      <c r="B54" s="998"/>
      <c r="C54" s="1410">
        <f t="shared" ref="C54:H54" si="35">SUM(R36:R42)</f>
        <v>4300.8935312500007</v>
      </c>
      <c r="D54" s="1410">
        <f t="shared" si="35"/>
        <v>5875.7585312500005</v>
      </c>
      <c r="E54" s="1410">
        <f t="shared" si="35"/>
        <v>6043.1745625000003</v>
      </c>
      <c r="F54" s="1410">
        <f t="shared" si="35"/>
        <v>8793.6583125000016</v>
      </c>
      <c r="G54" s="1410">
        <f t="shared" si="35"/>
        <v>11791.476031250002</v>
      </c>
      <c r="H54" s="1410">
        <f t="shared" si="35"/>
        <v>5875.7585312500005</v>
      </c>
      <c r="I54" s="1410">
        <f>SUM(X36:X41)</f>
        <v>3340.7125000000005</v>
      </c>
      <c r="J54" s="1423">
        <f>SUM(Y36:Y41)</f>
        <v>1566.6687500000003</v>
      </c>
      <c r="K54" s="714">
        <f>SUM(B54:J54)</f>
        <v>47588.100750000005</v>
      </c>
    </row>
    <row r="56" spans="1:11" x14ac:dyDescent="0.25">
      <c r="B56" s="714">
        <f>SUM(B49:B53)</f>
        <v>5384.4375</v>
      </c>
      <c r="C56" s="714">
        <f t="shared" ref="C56:K56" si="36">SUM(C49:C54)</f>
        <v>26039.143072916668</v>
      </c>
      <c r="D56" s="714">
        <f t="shared" si="36"/>
        <v>44509.278968750004</v>
      </c>
      <c r="E56" s="714">
        <f t="shared" si="36"/>
        <v>35144.174136904767</v>
      </c>
      <c r="F56" s="714">
        <f t="shared" si="36"/>
        <v>61663.332760416662</v>
      </c>
      <c r="G56" s="714">
        <f t="shared" si="36"/>
        <v>56390.1848764881</v>
      </c>
      <c r="H56" s="714">
        <f t="shared" si="36"/>
        <v>22996.683209821429</v>
      </c>
      <c r="I56" s="714">
        <f t="shared" si="36"/>
        <v>15351.700281250003</v>
      </c>
      <c r="J56" s="714">
        <f t="shared" si="36"/>
        <v>13328.356250000001</v>
      </c>
      <c r="K56" s="1424">
        <f t="shared" si="36"/>
        <v>280807.2910565476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FF58-803A-4E87-A9DD-2D522C6491F0}">
  <sheetPr>
    <tabColor theme="8"/>
  </sheetPr>
  <dimension ref="B1:Q206"/>
  <sheetViews>
    <sheetView topLeftCell="A4" workbookViewId="0">
      <selection activeCell="C212" sqref="C212"/>
    </sheetView>
  </sheetViews>
  <sheetFormatPr defaultRowHeight="15" x14ac:dyDescent="0.25"/>
  <cols>
    <col min="3" max="3" width="30.5703125" bestFit="1" customWidth="1"/>
    <col min="7" max="7" width="23.140625" bestFit="1" customWidth="1"/>
    <col min="8" max="8" width="15.7109375" bestFit="1" customWidth="1"/>
    <col min="11" max="11" width="15.42578125" bestFit="1" customWidth="1"/>
  </cols>
  <sheetData>
    <row r="1" spans="2:11" x14ac:dyDescent="0.25">
      <c r="C1" s="1524" t="s">
        <v>195</v>
      </c>
      <c r="D1" s="1524"/>
      <c r="E1" s="1524"/>
      <c r="F1" s="1524"/>
      <c r="G1" s="1524"/>
      <c r="H1" s="1524"/>
      <c r="I1" s="1524"/>
    </row>
    <row r="2" spans="2:11" x14ac:dyDescent="0.25">
      <c r="B2" s="1" t="s">
        <v>1</v>
      </c>
      <c r="C2" s="5" t="s">
        <v>2</v>
      </c>
      <c r="D2" s="5" t="s">
        <v>3</v>
      </c>
      <c r="E2" s="975" t="s">
        <v>4</v>
      </c>
      <c r="F2" s="5" t="s">
        <v>5</v>
      </c>
      <c r="G2" s="5" t="s">
        <v>6</v>
      </c>
      <c r="H2" s="988" t="s">
        <v>7</v>
      </c>
      <c r="I2" s="5" t="s">
        <v>8</v>
      </c>
      <c r="J2" s="5" t="s">
        <v>9</v>
      </c>
      <c r="K2" s="5" t="s">
        <v>10</v>
      </c>
    </row>
    <row r="3" spans="2:11" x14ac:dyDescent="0.25">
      <c r="B3" s="6"/>
      <c r="C3" s="7"/>
      <c r="D3" s="8"/>
      <c r="E3" s="9"/>
      <c r="F3" s="9"/>
      <c r="G3" s="9"/>
      <c r="H3" s="10"/>
      <c r="I3" s="9"/>
      <c r="J3" s="9"/>
      <c r="K3" s="12"/>
    </row>
    <row r="4" spans="2:11" ht="55.5" customHeight="1" x14ac:dyDescent="0.25">
      <c r="B4" s="968">
        <v>46097</v>
      </c>
      <c r="C4" s="57" t="s">
        <v>11</v>
      </c>
      <c r="D4" s="59">
        <f>'Range Quantities'!C37</f>
        <v>5</v>
      </c>
      <c r="E4" s="59">
        <v>1.7</v>
      </c>
      <c r="F4" s="59">
        <v>4</v>
      </c>
      <c r="G4" s="59" t="s">
        <v>12</v>
      </c>
      <c r="H4" s="39"/>
      <c r="I4" s="19"/>
      <c r="J4" s="19"/>
      <c r="K4" s="1055" t="s">
        <v>13</v>
      </c>
    </row>
    <row r="5" spans="2:11" x14ac:dyDescent="0.25">
      <c r="B5" s="968"/>
      <c r="C5" s="57" t="s">
        <v>196</v>
      </c>
      <c r="D5" s="59">
        <f>'Range Quantities'!C35</f>
        <v>6</v>
      </c>
      <c r="E5" s="59">
        <v>1.7</v>
      </c>
      <c r="F5" s="59">
        <v>4</v>
      </c>
      <c r="G5" s="59" t="s">
        <v>15</v>
      </c>
      <c r="H5" s="39"/>
      <c r="I5" s="19"/>
      <c r="J5" s="19"/>
      <c r="K5" s="1055"/>
    </row>
    <row r="6" spans="2:11" x14ac:dyDescent="0.25">
      <c r="B6" s="968"/>
      <c r="C6" s="2"/>
      <c r="D6" s="19"/>
      <c r="E6" s="19"/>
      <c r="F6" s="19"/>
      <c r="G6" s="19"/>
      <c r="H6" s="39"/>
      <c r="I6" s="19"/>
      <c r="J6" s="19"/>
      <c r="K6" s="1055"/>
    </row>
    <row r="7" spans="2:11" x14ac:dyDescent="0.25">
      <c r="B7" s="968">
        <v>46111</v>
      </c>
      <c r="C7" s="57" t="s">
        <v>11</v>
      </c>
      <c r="D7" s="59">
        <f>'Range Quantities'!C37</f>
        <v>5</v>
      </c>
      <c r="E7" s="59">
        <v>1.7</v>
      </c>
      <c r="F7" s="59">
        <v>4</v>
      </c>
      <c r="G7" s="59" t="s">
        <v>12</v>
      </c>
      <c r="H7" s="39"/>
      <c r="I7" s="19"/>
      <c r="J7" s="19"/>
      <c r="K7" s="1055"/>
    </row>
    <row r="8" spans="2:11" x14ac:dyDescent="0.25">
      <c r="B8" s="968"/>
      <c r="C8" s="57" t="s">
        <v>196</v>
      </c>
      <c r="D8" s="59">
        <f>'Range Quantities'!C35</f>
        <v>6</v>
      </c>
      <c r="E8" s="59">
        <v>1.7</v>
      </c>
      <c r="F8" s="59">
        <v>4</v>
      </c>
      <c r="G8" s="59" t="s">
        <v>15</v>
      </c>
      <c r="H8" s="39"/>
      <c r="I8" s="19"/>
      <c r="J8" s="19"/>
      <c r="K8" s="1055"/>
    </row>
    <row r="9" spans="2:11" x14ac:dyDescent="0.25">
      <c r="B9" s="723"/>
      <c r="C9" s="7"/>
      <c r="D9" s="8"/>
      <c r="E9" s="9"/>
      <c r="F9" s="9"/>
      <c r="G9" s="9"/>
      <c r="H9" s="10"/>
      <c r="I9" s="9"/>
      <c r="J9" s="9"/>
      <c r="K9" s="585"/>
    </row>
    <row r="10" spans="2:11" ht="36.75" x14ac:dyDescent="0.25">
      <c r="B10" s="13">
        <v>46125</v>
      </c>
      <c r="C10" s="14" t="s">
        <v>16</v>
      </c>
      <c r="D10" s="15">
        <f>'Range Quantities'!C9</f>
        <v>1.5</v>
      </c>
      <c r="E10" s="16">
        <v>1.7</v>
      </c>
      <c r="F10" s="16">
        <v>4</v>
      </c>
      <c r="G10" s="16" t="s">
        <v>17</v>
      </c>
      <c r="H10" s="17" t="s">
        <v>18</v>
      </c>
      <c r="I10" s="18" t="s">
        <v>19</v>
      </c>
      <c r="J10" s="12">
        <v>3</v>
      </c>
      <c r="K10" s="1056" t="s">
        <v>20</v>
      </c>
    </row>
    <row r="11" spans="2:11" x14ac:dyDescent="0.25">
      <c r="B11" s="6"/>
      <c r="C11" s="7"/>
      <c r="D11" s="8"/>
      <c r="E11" s="9"/>
      <c r="F11" s="25"/>
      <c r="G11" s="9"/>
      <c r="H11" s="10"/>
      <c r="I11" s="9"/>
      <c r="J11" s="9"/>
      <c r="K11" s="12"/>
    </row>
    <row r="12" spans="2:11" x14ac:dyDescent="0.25">
      <c r="B12" s="13">
        <v>46132</v>
      </c>
      <c r="C12" s="14" t="s">
        <v>197</v>
      </c>
      <c r="D12" s="15">
        <f>'Range Quantities'!C4</f>
        <v>0.5</v>
      </c>
      <c r="E12" s="16">
        <v>1.7</v>
      </c>
      <c r="F12" s="16">
        <v>4</v>
      </c>
      <c r="G12" s="16" t="s">
        <v>22</v>
      </c>
      <c r="H12" s="6"/>
      <c r="I12" s="19" t="s">
        <v>23</v>
      </c>
      <c r="J12" s="19">
        <v>29</v>
      </c>
      <c r="K12" s="12"/>
    </row>
    <row r="13" spans="2:11" x14ac:dyDescent="0.25">
      <c r="B13" s="6"/>
      <c r="C13" s="14" t="s">
        <v>198</v>
      </c>
      <c r="D13" s="15">
        <f>'Range Quantities'!C5</f>
        <v>4</v>
      </c>
      <c r="E13" s="16">
        <v>1.7</v>
      </c>
      <c r="F13" s="16">
        <v>4</v>
      </c>
      <c r="G13" s="26" t="s">
        <v>25</v>
      </c>
      <c r="H13" s="6"/>
      <c r="I13" s="27" t="s">
        <v>26</v>
      </c>
      <c r="J13" s="19">
        <v>2</v>
      </c>
      <c r="K13" s="12"/>
    </row>
    <row r="14" spans="2:11" x14ac:dyDescent="0.25">
      <c r="B14" s="6"/>
      <c r="C14" s="20" t="s">
        <v>27</v>
      </c>
      <c r="D14" s="21">
        <v>6.5000000000000002E-2</v>
      </c>
      <c r="E14" s="22">
        <v>1.7</v>
      </c>
      <c r="F14" s="23">
        <v>4</v>
      </c>
      <c r="G14" s="22"/>
      <c r="H14" s="17"/>
      <c r="I14" s="22"/>
      <c r="J14" s="19"/>
      <c r="K14" s="12"/>
    </row>
    <row r="15" spans="2:11" x14ac:dyDescent="0.25">
      <c r="B15" s="6"/>
      <c r="C15" s="20" t="s">
        <v>28</v>
      </c>
      <c r="D15" s="21">
        <v>0.54</v>
      </c>
      <c r="E15" s="22">
        <v>1.7</v>
      </c>
      <c r="F15" s="23">
        <v>4</v>
      </c>
      <c r="G15" s="28"/>
      <c r="H15" s="29"/>
      <c r="I15" s="22"/>
      <c r="J15" s="19"/>
      <c r="K15" s="12"/>
    </row>
    <row r="16" spans="2:11" x14ac:dyDescent="0.25">
      <c r="B16" s="6"/>
      <c r="C16" s="20" t="s">
        <v>29</v>
      </c>
      <c r="D16" s="21">
        <v>1.8</v>
      </c>
      <c r="E16" s="22">
        <v>1.7</v>
      </c>
      <c r="F16" s="23">
        <v>4</v>
      </c>
      <c r="G16" s="22"/>
      <c r="H16" s="17"/>
      <c r="I16" s="22"/>
      <c r="J16" s="19"/>
      <c r="K16" s="12"/>
    </row>
    <row r="17" spans="2:11" x14ac:dyDescent="0.25">
      <c r="B17" s="6"/>
      <c r="C17" s="20" t="s">
        <v>30</v>
      </c>
      <c r="D17" s="21">
        <v>1.8</v>
      </c>
      <c r="E17" s="22">
        <v>1.7</v>
      </c>
      <c r="F17" s="23">
        <v>4</v>
      </c>
      <c r="G17" s="22"/>
      <c r="H17" s="17"/>
      <c r="I17" s="22"/>
      <c r="J17" s="19"/>
      <c r="K17" s="12"/>
    </row>
    <row r="18" spans="2:11" x14ac:dyDescent="0.25">
      <c r="B18" s="6"/>
      <c r="C18" s="20" t="s">
        <v>31</v>
      </c>
      <c r="D18" s="21">
        <v>0.73</v>
      </c>
      <c r="E18" s="22">
        <v>1.7</v>
      </c>
      <c r="F18" s="23">
        <v>4</v>
      </c>
      <c r="G18" s="22"/>
      <c r="H18" s="17"/>
      <c r="I18" s="22"/>
      <c r="J18" s="19"/>
      <c r="K18" s="12"/>
    </row>
    <row r="19" spans="2:1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2:11" x14ac:dyDescent="0.25">
      <c r="B20" s="41">
        <v>46146</v>
      </c>
      <c r="C20" s="42" t="s">
        <v>199</v>
      </c>
      <c r="D20" s="15">
        <f>'Range Quantities'!C8</f>
        <v>3.6</v>
      </c>
      <c r="E20" s="16">
        <v>1.7</v>
      </c>
      <c r="F20" s="16">
        <v>4</v>
      </c>
      <c r="G20" s="16" t="s">
        <v>40</v>
      </c>
      <c r="H20" s="943"/>
      <c r="I20" s="19"/>
      <c r="J20" s="304"/>
      <c r="K20" s="40"/>
    </row>
    <row r="21" spans="2:11" x14ac:dyDescent="0.25">
      <c r="B21" s="41"/>
      <c r="C21" s="20" t="s">
        <v>27</v>
      </c>
      <c r="D21" s="21">
        <v>6.5000000000000002E-2</v>
      </c>
      <c r="E21" s="22">
        <v>1.7</v>
      </c>
      <c r="F21" s="23">
        <v>4</v>
      </c>
      <c r="G21" s="22"/>
      <c r="H21" s="985"/>
      <c r="I21" s="304"/>
      <c r="J21" s="304"/>
      <c r="K21" s="12"/>
    </row>
    <row r="22" spans="2:11" x14ac:dyDescent="0.25">
      <c r="B22" s="41"/>
      <c r="C22" s="20" t="s">
        <v>41</v>
      </c>
      <c r="D22" s="21">
        <v>0.54</v>
      </c>
      <c r="E22" s="22">
        <v>1.7</v>
      </c>
      <c r="F22" s="23">
        <v>4</v>
      </c>
      <c r="G22" s="28"/>
      <c r="H22" s="985"/>
      <c r="I22" s="304"/>
      <c r="J22" s="304"/>
      <c r="K22" s="48"/>
    </row>
    <row r="23" spans="2:11" x14ac:dyDescent="0.25">
      <c r="B23" s="41"/>
      <c r="C23" s="20" t="s">
        <v>29</v>
      </c>
      <c r="D23" s="21">
        <v>1.8</v>
      </c>
      <c r="E23" s="22">
        <v>1.7</v>
      </c>
      <c r="F23" s="23">
        <v>4</v>
      </c>
      <c r="G23" s="22"/>
      <c r="H23" s="985"/>
      <c r="I23" s="304"/>
      <c r="J23" s="304"/>
      <c r="K23" s="12"/>
    </row>
    <row r="24" spans="2:11" x14ac:dyDescent="0.25">
      <c r="B24" s="41"/>
      <c r="C24" s="20" t="s">
        <v>30</v>
      </c>
      <c r="D24" s="21">
        <v>1.8</v>
      </c>
      <c r="E24" s="22">
        <v>1.7</v>
      </c>
      <c r="F24" s="23">
        <v>4</v>
      </c>
      <c r="G24" s="22"/>
      <c r="H24" s="985"/>
      <c r="I24" s="304"/>
      <c r="J24" s="304"/>
      <c r="K24" s="12"/>
    </row>
    <row r="25" spans="2:11" x14ac:dyDescent="0.25">
      <c r="B25" s="41"/>
      <c r="C25" s="20" t="s">
        <v>31</v>
      </c>
      <c r="D25" s="21">
        <v>0.73</v>
      </c>
      <c r="E25" s="22">
        <v>1.7</v>
      </c>
      <c r="F25" s="23">
        <v>4</v>
      </c>
      <c r="G25" s="22"/>
      <c r="H25" s="985"/>
      <c r="I25" s="304"/>
      <c r="J25" s="304"/>
      <c r="K25" s="12"/>
    </row>
    <row r="26" spans="2:11" x14ac:dyDescent="0.25">
      <c r="B26" s="41"/>
      <c r="C26" s="49" t="s">
        <v>42</v>
      </c>
      <c r="D26" s="50">
        <v>1.8</v>
      </c>
      <c r="E26" s="51">
        <v>1.7</v>
      </c>
      <c r="F26" s="52">
        <v>29</v>
      </c>
      <c r="G26" s="53"/>
      <c r="H26" s="985"/>
      <c r="I26" s="304"/>
      <c r="J26" s="304"/>
      <c r="K26" s="12"/>
    </row>
    <row r="27" spans="2:11" x14ac:dyDescent="0.25">
      <c r="B27" s="41"/>
      <c r="C27" s="57" t="s">
        <v>50</v>
      </c>
      <c r="D27" s="58">
        <f>'Range Quantities'!C38</f>
        <v>9</v>
      </c>
      <c r="E27" s="59">
        <v>1.7</v>
      </c>
      <c r="F27" s="60">
        <v>4</v>
      </c>
      <c r="G27" s="59" t="s">
        <v>51</v>
      </c>
      <c r="H27" s="985"/>
      <c r="I27" s="304"/>
      <c r="J27" s="304"/>
      <c r="K27" s="12"/>
    </row>
    <row r="28" spans="2:11" x14ac:dyDescent="0.25">
      <c r="B28" s="41"/>
      <c r="C28" s="57" t="s">
        <v>196</v>
      </c>
      <c r="D28" s="58">
        <f>'Range Quantities'!C35</f>
        <v>6</v>
      </c>
      <c r="E28" s="59">
        <v>1.7</v>
      </c>
      <c r="F28" s="60">
        <v>4</v>
      </c>
      <c r="G28" s="59" t="s">
        <v>15</v>
      </c>
      <c r="H28" s="985"/>
      <c r="I28" s="304"/>
      <c r="J28" s="304"/>
      <c r="K28" s="12"/>
    </row>
    <row r="29" spans="2:11" x14ac:dyDescent="0.25">
      <c r="B29" s="41"/>
      <c r="C29" s="62" t="s">
        <v>43</v>
      </c>
      <c r="D29" s="63">
        <f>'Range Quantities'!C31</f>
        <v>3.5</v>
      </c>
      <c r="E29" s="64">
        <v>1.7</v>
      </c>
      <c r="F29" s="65">
        <v>4</v>
      </c>
      <c r="G29" s="66" t="s">
        <v>44</v>
      </c>
      <c r="H29" s="985"/>
      <c r="I29" s="304"/>
      <c r="J29" s="304"/>
      <c r="K29" s="12"/>
    </row>
    <row r="30" spans="2:11" x14ac:dyDescent="0.25">
      <c r="B30" s="6"/>
      <c r="C30" s="62" t="s">
        <v>55</v>
      </c>
      <c r="D30" s="63">
        <f>'Range Quantities'!C15</f>
        <v>0.7</v>
      </c>
      <c r="E30" s="64"/>
      <c r="F30" s="65">
        <v>4</v>
      </c>
      <c r="G30" s="64" t="s">
        <v>56</v>
      </c>
      <c r="H30" s="6"/>
      <c r="I30" s="103"/>
      <c r="J30" s="103"/>
      <c r="K30" s="12"/>
    </row>
    <row r="31" spans="2:11" x14ac:dyDescent="0.25">
      <c r="B31" s="968"/>
      <c r="C31" s="743"/>
      <c r="D31" s="744"/>
      <c r="E31" s="745"/>
      <c r="F31" s="70"/>
      <c r="G31" s="70"/>
      <c r="H31" s="723"/>
      <c r="I31" s="745"/>
      <c r="J31" s="745"/>
      <c r="K31" s="12"/>
    </row>
    <row r="32" spans="2:11" x14ac:dyDescent="0.25">
      <c r="B32" s="95">
        <v>46153</v>
      </c>
      <c r="C32" s="139" t="s">
        <v>63</v>
      </c>
      <c r="D32" s="982">
        <f>'Range Quantities'!C41</f>
        <v>0.5</v>
      </c>
      <c r="E32" s="982">
        <v>1.7</v>
      </c>
      <c r="F32" s="982">
        <v>4</v>
      </c>
      <c r="G32" s="139"/>
      <c r="H32" s="39"/>
      <c r="I32" s="19"/>
      <c r="J32" s="19"/>
      <c r="K32" s="12"/>
    </row>
    <row r="33" spans="2:11" x14ac:dyDescent="0.25">
      <c r="B33" s="968"/>
      <c r="C33" s="1072" t="s">
        <v>200</v>
      </c>
      <c r="D33" s="26">
        <v>1.5</v>
      </c>
      <c r="E33" s="26">
        <v>1.7</v>
      </c>
      <c r="F33" s="26">
        <v>4</v>
      </c>
      <c r="G33" s="26" t="s">
        <v>17</v>
      </c>
      <c r="H33" s="19" t="s">
        <v>18</v>
      </c>
      <c r="I33" s="19"/>
      <c r="J33" s="19">
        <v>3</v>
      </c>
      <c r="K33" s="1084" t="s">
        <v>201</v>
      </c>
    </row>
    <row r="34" spans="2:11" x14ac:dyDescent="0.25">
      <c r="B34" s="968"/>
      <c r="C34" s="81" t="s">
        <v>35</v>
      </c>
      <c r="D34" s="83">
        <f>'Range Quantities'!C30</f>
        <v>16</v>
      </c>
      <c r="E34" s="83">
        <v>1.7</v>
      </c>
      <c r="F34" s="83">
        <v>4</v>
      </c>
      <c r="G34" s="81"/>
      <c r="H34" s="39"/>
      <c r="I34" s="19"/>
      <c r="J34" s="19"/>
      <c r="K34" s="1084" t="s">
        <v>202</v>
      </c>
    </row>
    <row r="35" spans="2:11" x14ac:dyDescent="0.25">
      <c r="B35" s="968"/>
      <c r="C35" s="87" t="s">
        <v>37</v>
      </c>
      <c r="D35" s="89">
        <f>'Range Quantities'!C22</f>
        <v>0.37</v>
      </c>
      <c r="E35" s="89">
        <v>1.7</v>
      </c>
      <c r="F35" s="89">
        <v>4</v>
      </c>
      <c r="G35" s="87"/>
      <c r="H35" s="39"/>
      <c r="I35" s="19"/>
      <c r="J35" s="19"/>
      <c r="K35" s="1084" t="s">
        <v>202</v>
      </c>
    </row>
    <row r="36" spans="2:11" x14ac:dyDescent="0.25">
      <c r="B36" s="968"/>
      <c r="C36" s="743"/>
      <c r="D36" s="744"/>
      <c r="E36" s="745"/>
      <c r="F36" s="70"/>
      <c r="G36" s="70"/>
      <c r="H36" s="723"/>
      <c r="I36" s="745"/>
      <c r="J36" s="745"/>
      <c r="K36" s="12"/>
    </row>
    <row r="37" spans="2:11" x14ac:dyDescent="0.25">
      <c r="B37" s="95">
        <v>46160</v>
      </c>
      <c r="C37" s="14" t="s">
        <v>197</v>
      </c>
      <c r="D37" s="15">
        <f>'Range Quantities'!C4</f>
        <v>0.5</v>
      </c>
      <c r="E37" s="16">
        <v>1.7</v>
      </c>
      <c r="F37" s="16">
        <v>4</v>
      </c>
      <c r="G37" s="16" t="s">
        <v>22</v>
      </c>
      <c r="H37" s="17"/>
      <c r="I37" s="96" t="s">
        <v>66</v>
      </c>
      <c r="J37" s="19">
        <v>29</v>
      </c>
      <c r="K37" s="12"/>
    </row>
    <row r="38" spans="2:11" x14ac:dyDescent="0.25">
      <c r="B38" s="95"/>
      <c r="C38" s="87" t="s">
        <v>57</v>
      </c>
      <c r="D38" s="89">
        <f>'Range Quantities'!C23</f>
        <v>3</v>
      </c>
      <c r="E38" s="89">
        <v>1.7</v>
      </c>
      <c r="F38" s="89">
        <v>4</v>
      </c>
      <c r="G38" s="89" t="s">
        <v>58</v>
      </c>
      <c r="H38" s="17"/>
      <c r="I38" s="19"/>
      <c r="J38" s="19"/>
      <c r="K38" s="12"/>
    </row>
    <row r="39" spans="2:11" x14ac:dyDescent="0.25">
      <c r="B39" s="13"/>
      <c r="C39" s="20" t="s">
        <v>27</v>
      </c>
      <c r="D39" s="21">
        <v>6.5000000000000002E-2</v>
      </c>
      <c r="E39" s="22">
        <v>1.7</v>
      </c>
      <c r="F39" s="23">
        <v>4</v>
      </c>
      <c r="G39" s="103"/>
      <c r="H39" s="29"/>
      <c r="I39" s="22"/>
      <c r="J39" s="19"/>
      <c r="K39" s="12"/>
    </row>
    <row r="40" spans="2:11" x14ac:dyDescent="0.25">
      <c r="B40" s="6"/>
      <c r="C40" s="20" t="s">
        <v>28</v>
      </c>
      <c r="D40" s="21">
        <v>0.54</v>
      </c>
      <c r="E40" s="22">
        <v>1.7</v>
      </c>
      <c r="F40" s="23">
        <v>4</v>
      </c>
      <c r="G40" s="28"/>
      <c r="H40" s="17"/>
      <c r="I40" s="22"/>
      <c r="J40" s="19"/>
      <c r="K40" s="12"/>
    </row>
    <row r="41" spans="2:11" x14ac:dyDescent="0.25">
      <c r="B41" s="98"/>
      <c r="C41" s="20" t="s">
        <v>29</v>
      </c>
      <c r="D41" s="21">
        <v>1.8</v>
      </c>
      <c r="E41" s="22">
        <v>1.7</v>
      </c>
      <c r="F41" s="23">
        <v>4</v>
      </c>
      <c r="G41" s="22"/>
      <c r="H41" s="17"/>
      <c r="I41" s="22"/>
      <c r="J41" s="19"/>
      <c r="K41" s="12"/>
    </row>
    <row r="42" spans="2:11" x14ac:dyDescent="0.25">
      <c r="B42" s="6"/>
      <c r="C42" s="20" t="s">
        <v>30</v>
      </c>
      <c r="D42" s="21">
        <v>1.8</v>
      </c>
      <c r="E42" s="22">
        <v>1.7</v>
      </c>
      <c r="F42" s="23">
        <v>4</v>
      </c>
      <c r="G42" s="22"/>
      <c r="H42" s="17"/>
      <c r="I42" s="22"/>
      <c r="J42" s="19"/>
      <c r="K42" s="12"/>
    </row>
    <row r="43" spans="2:11" x14ac:dyDescent="0.25">
      <c r="B43" s="6"/>
      <c r="C43" s="20" t="s">
        <v>31</v>
      </c>
      <c r="D43" s="21">
        <v>0.73</v>
      </c>
      <c r="E43" s="22">
        <v>1.7</v>
      </c>
      <c r="F43" s="23">
        <v>4</v>
      </c>
      <c r="G43" s="22"/>
      <c r="H43" s="161"/>
      <c r="I43" s="19"/>
      <c r="J43" s="19"/>
      <c r="K43" s="12"/>
    </row>
    <row r="44" spans="2:11" x14ac:dyDescent="0.25">
      <c r="B44" s="6"/>
      <c r="C44" s="49" t="s">
        <v>42</v>
      </c>
      <c r="D44" s="50">
        <v>1.8</v>
      </c>
      <c r="E44" s="51">
        <v>1.7</v>
      </c>
      <c r="F44" s="52">
        <v>4</v>
      </c>
      <c r="G44" s="53"/>
      <c r="H44" s="98"/>
      <c r="I44" s="19"/>
      <c r="J44" s="19"/>
      <c r="K44" s="12"/>
    </row>
    <row r="45" spans="2:11" x14ac:dyDescent="0.25">
      <c r="B45" s="6"/>
      <c r="C45" s="57" t="s">
        <v>50</v>
      </c>
      <c r="D45" s="58">
        <f>'Range Quantities'!C38</f>
        <v>9</v>
      </c>
      <c r="E45" s="59">
        <v>1.7</v>
      </c>
      <c r="F45" s="60">
        <v>4</v>
      </c>
      <c r="G45" s="59" t="s">
        <v>51</v>
      </c>
      <c r="H45" s="6"/>
      <c r="I45" s="103"/>
      <c r="J45" s="103"/>
      <c r="K45" s="12"/>
    </row>
    <row r="46" spans="2:11" x14ac:dyDescent="0.25">
      <c r="B46" s="6"/>
      <c r="C46" s="57" t="s">
        <v>196</v>
      </c>
      <c r="D46" s="58">
        <f>'Range Quantities'!C35</f>
        <v>6</v>
      </c>
      <c r="E46" s="59">
        <v>1.7</v>
      </c>
      <c r="F46" s="60">
        <v>4</v>
      </c>
      <c r="G46" s="59" t="s">
        <v>15</v>
      </c>
      <c r="H46" s="6"/>
      <c r="I46" s="103"/>
      <c r="J46" s="103"/>
      <c r="K46" s="12"/>
    </row>
    <row r="47" spans="2:11" x14ac:dyDescent="0.25">
      <c r="B47" s="6"/>
      <c r="C47" s="57" t="s">
        <v>52</v>
      </c>
      <c r="D47" s="58">
        <f>'Range Quantities'!C36</f>
        <v>6</v>
      </c>
      <c r="E47" s="59">
        <v>1.7</v>
      </c>
      <c r="F47" s="60">
        <v>4</v>
      </c>
      <c r="G47" s="59" t="s">
        <v>53</v>
      </c>
      <c r="H47" s="6"/>
      <c r="I47" s="103"/>
      <c r="J47" s="103"/>
      <c r="K47" s="12" t="s">
        <v>54</v>
      </c>
    </row>
    <row r="48" spans="2:11" x14ac:dyDescent="0.25">
      <c r="B48" s="6"/>
      <c r="C48" s="62" t="s">
        <v>55</v>
      </c>
      <c r="D48" s="63">
        <f>'Range Quantities'!C32</f>
        <v>0.75</v>
      </c>
      <c r="E48" s="64"/>
      <c r="F48" s="65">
        <v>4</v>
      </c>
      <c r="G48" s="64" t="s">
        <v>56</v>
      </c>
      <c r="H48" s="6"/>
      <c r="I48" s="103"/>
      <c r="J48" s="103"/>
      <c r="K48" s="12"/>
    </row>
    <row r="49" spans="2:11" x14ac:dyDescent="0.25">
      <c r="B49" s="6"/>
      <c r="C49" s="62" t="s">
        <v>43</v>
      </c>
      <c r="D49" s="63">
        <f>'Range Quantities'!C31</f>
        <v>3.5</v>
      </c>
      <c r="E49" s="64">
        <v>1.7</v>
      </c>
      <c r="F49" s="65">
        <v>4</v>
      </c>
      <c r="G49" s="66" t="s">
        <v>44</v>
      </c>
      <c r="H49" s="6"/>
      <c r="I49" s="103"/>
      <c r="J49" s="103"/>
      <c r="K49" s="12"/>
    </row>
    <row r="50" spans="2:11" x14ac:dyDescent="0.25">
      <c r="B50" s="974"/>
      <c r="C50" s="7"/>
      <c r="D50" s="8"/>
      <c r="E50" s="9"/>
      <c r="F50" s="25"/>
      <c r="G50" s="9"/>
      <c r="H50" s="10"/>
      <c r="I50" s="9"/>
      <c r="J50" s="9"/>
      <c r="K50" s="12"/>
    </row>
    <row r="51" spans="2:11" x14ac:dyDescent="0.25">
      <c r="B51" s="108">
        <v>46174</v>
      </c>
      <c r="C51" s="14" t="s">
        <v>59</v>
      </c>
      <c r="D51" s="15">
        <f>'Range Quantities'!C7</f>
        <v>1.1000000000000001</v>
      </c>
      <c r="E51" s="16">
        <v>1.7</v>
      </c>
      <c r="F51" s="26">
        <v>4</v>
      </c>
      <c r="G51" s="16" t="s">
        <v>60</v>
      </c>
      <c r="H51" s="103" t="s">
        <v>203</v>
      </c>
      <c r="I51" s="18" t="s">
        <v>19</v>
      </c>
      <c r="J51" s="6" t="s">
        <v>62</v>
      </c>
      <c r="K51" s="12"/>
    </row>
    <row r="52" spans="2:11" x14ac:dyDescent="0.25">
      <c r="B52" s="41"/>
      <c r="C52" s="20" t="s">
        <v>27</v>
      </c>
      <c r="D52" s="21">
        <v>6.5000000000000002E-2</v>
      </c>
      <c r="E52" s="22">
        <v>1.7</v>
      </c>
      <c r="F52" s="23">
        <v>4</v>
      </c>
      <c r="G52" s="22"/>
      <c r="H52" s="17"/>
      <c r="I52" s="22"/>
      <c r="J52" s="19"/>
      <c r="K52" s="12"/>
    </row>
    <row r="53" spans="2:11" x14ac:dyDescent="0.25">
      <c r="B53" s="985"/>
      <c r="C53" s="20" t="s">
        <v>41</v>
      </c>
      <c r="D53" s="21">
        <v>0.54</v>
      </c>
      <c r="E53" s="22">
        <v>1.7</v>
      </c>
      <c r="F53" s="23">
        <v>4</v>
      </c>
      <c r="G53" s="22"/>
      <c r="H53" s="17"/>
      <c r="I53" s="22"/>
      <c r="J53" s="19"/>
      <c r="K53" s="12"/>
    </row>
    <row r="54" spans="2:11" x14ac:dyDescent="0.25">
      <c r="B54" s="985"/>
      <c r="C54" s="20" t="s">
        <v>29</v>
      </c>
      <c r="D54" s="21">
        <v>1.8</v>
      </c>
      <c r="E54" s="22">
        <v>1.7</v>
      </c>
      <c r="F54" s="23">
        <v>4</v>
      </c>
      <c r="G54" s="22"/>
      <c r="H54" s="17"/>
      <c r="I54" s="22"/>
      <c r="J54" s="19"/>
      <c r="K54" s="12"/>
    </row>
    <row r="55" spans="2:11" x14ac:dyDescent="0.25">
      <c r="B55" s="985"/>
      <c r="C55" s="20" t="s">
        <v>30</v>
      </c>
      <c r="D55" s="21">
        <v>1.8</v>
      </c>
      <c r="E55" s="22">
        <v>1.7</v>
      </c>
      <c r="F55" s="23">
        <v>4</v>
      </c>
      <c r="G55" s="22"/>
      <c r="H55" s="17"/>
      <c r="I55" s="22"/>
      <c r="J55" s="19"/>
      <c r="K55" s="12"/>
    </row>
    <row r="56" spans="2:11" x14ac:dyDescent="0.25">
      <c r="B56" s="985"/>
      <c r="C56" s="20" t="s">
        <v>31</v>
      </c>
      <c r="D56" s="21">
        <v>0.73</v>
      </c>
      <c r="E56" s="22">
        <v>1.7</v>
      </c>
      <c r="F56" s="23">
        <v>4</v>
      </c>
      <c r="G56" s="22"/>
      <c r="H56" s="161"/>
      <c r="I56" s="22"/>
      <c r="J56" s="19"/>
      <c r="K56" s="12"/>
    </row>
    <row r="57" spans="2:11" x14ac:dyDescent="0.25">
      <c r="B57" s="985"/>
      <c r="C57" s="49" t="s">
        <v>42</v>
      </c>
      <c r="D57" s="50">
        <v>1.8</v>
      </c>
      <c r="E57" s="51">
        <v>1.7</v>
      </c>
      <c r="F57" s="52">
        <v>4</v>
      </c>
      <c r="G57" s="53"/>
      <c r="H57" s="98"/>
      <c r="I57" s="19"/>
      <c r="J57" s="19"/>
      <c r="K57" s="12"/>
    </row>
    <row r="58" spans="2:11" x14ac:dyDescent="0.25">
      <c r="B58" s="985"/>
      <c r="C58" s="57" t="s">
        <v>50</v>
      </c>
      <c r="D58" s="58">
        <f>'Range Quantities'!C38</f>
        <v>9</v>
      </c>
      <c r="E58" s="59">
        <v>1.7</v>
      </c>
      <c r="F58" s="60">
        <v>29</v>
      </c>
      <c r="G58" s="59" t="s">
        <v>51</v>
      </c>
      <c r="H58" s="6"/>
      <c r="I58" s="19"/>
      <c r="J58" s="19"/>
      <c r="K58" s="12"/>
    </row>
    <row r="59" spans="2:11" x14ac:dyDescent="0.25">
      <c r="B59" s="985"/>
      <c r="C59" s="57" t="s">
        <v>52</v>
      </c>
      <c r="D59" s="58">
        <f>'Range Quantities'!C36</f>
        <v>6</v>
      </c>
      <c r="E59" s="59">
        <v>1.7</v>
      </c>
      <c r="F59" s="60">
        <v>4</v>
      </c>
      <c r="G59" s="59" t="s">
        <v>53</v>
      </c>
      <c r="H59" s="6"/>
      <c r="I59" s="19"/>
      <c r="J59" s="19"/>
      <c r="K59" s="12" t="s">
        <v>54</v>
      </c>
    </row>
    <row r="60" spans="2:11" x14ac:dyDescent="0.25">
      <c r="B60" s="985"/>
      <c r="C60" s="62" t="s">
        <v>55</v>
      </c>
      <c r="D60" s="63">
        <f>'Range Quantities'!C32</f>
        <v>0.75</v>
      </c>
      <c r="E60" s="64"/>
      <c r="F60" s="65">
        <v>4</v>
      </c>
      <c r="G60" s="64" t="s">
        <v>56</v>
      </c>
      <c r="H60" s="6"/>
      <c r="I60" s="19"/>
      <c r="J60" s="19"/>
      <c r="K60" s="12"/>
    </row>
    <row r="61" spans="2:11" x14ac:dyDescent="0.25">
      <c r="B61" s="985"/>
      <c r="C61" s="62" t="s">
        <v>43</v>
      </c>
      <c r="D61" s="63">
        <f>'Range Quantities'!C31</f>
        <v>3.5</v>
      </c>
      <c r="E61" s="64">
        <v>1.7</v>
      </c>
      <c r="F61" s="65">
        <v>4</v>
      </c>
      <c r="G61" s="66" t="s">
        <v>44</v>
      </c>
      <c r="H61" s="6"/>
      <c r="I61" s="19"/>
      <c r="J61" s="19"/>
      <c r="K61" s="12"/>
    </row>
    <row r="62" spans="2:11" x14ac:dyDescent="0.25">
      <c r="B62" s="39"/>
      <c r="C62" s="743"/>
      <c r="D62" s="744"/>
      <c r="E62" s="745"/>
      <c r="F62" s="70"/>
      <c r="G62" s="70"/>
      <c r="H62" s="723"/>
      <c r="I62" s="745"/>
      <c r="J62" s="745"/>
      <c r="K62" s="585"/>
    </row>
    <row r="63" spans="2:11" x14ac:dyDescent="0.25">
      <c r="B63" s="95">
        <v>46181</v>
      </c>
      <c r="C63" s="139" t="s">
        <v>63</v>
      </c>
      <c r="D63" s="982">
        <f>'Range Quantities'!C41</f>
        <v>0.5</v>
      </c>
      <c r="E63" s="982">
        <v>1.7</v>
      </c>
      <c r="F63" s="982">
        <v>4</v>
      </c>
      <c r="G63" s="139"/>
      <c r="H63" s="39"/>
      <c r="I63" s="19"/>
      <c r="J63" s="19"/>
      <c r="K63" s="12"/>
    </row>
    <row r="64" spans="2:11" x14ac:dyDescent="0.25">
      <c r="B64" s="39"/>
      <c r="C64" s="14" t="s">
        <v>16</v>
      </c>
      <c r="D64" s="16">
        <f>'Range Quantities'!C9</f>
        <v>1.5</v>
      </c>
      <c r="E64" s="16">
        <v>1.7</v>
      </c>
      <c r="F64" s="16">
        <v>4</v>
      </c>
      <c r="G64" s="16" t="s">
        <v>17</v>
      </c>
      <c r="H64" s="19" t="s">
        <v>18</v>
      </c>
      <c r="I64" s="19"/>
      <c r="J64" s="19">
        <v>3</v>
      </c>
      <c r="K64" s="12"/>
    </row>
    <row r="65" spans="2:12" x14ac:dyDescent="0.25">
      <c r="B65" s="39"/>
      <c r="C65" s="54" t="s">
        <v>64</v>
      </c>
      <c r="D65" s="56">
        <f>'Range Quantities'!C26</f>
        <v>0.73499999999999999</v>
      </c>
      <c r="E65" s="56">
        <v>1.7</v>
      </c>
      <c r="F65" s="56">
        <v>4</v>
      </c>
      <c r="G65" s="56" t="s">
        <v>65</v>
      </c>
      <c r="H65" s="39"/>
      <c r="I65" s="19"/>
      <c r="J65" s="19"/>
      <c r="K65" s="12"/>
    </row>
    <row r="66" spans="2:12" x14ac:dyDescent="0.25">
      <c r="B66" s="39"/>
      <c r="C66" s="743"/>
      <c r="D66" s="744"/>
      <c r="E66" s="745"/>
      <c r="F66" s="70"/>
      <c r="G66" s="70"/>
      <c r="H66" s="723"/>
      <c r="I66" s="745"/>
      <c r="J66" s="745"/>
      <c r="K66" s="585"/>
    </row>
    <row r="67" spans="2:12" x14ac:dyDescent="0.25">
      <c r="B67" s="95">
        <v>46188</v>
      </c>
      <c r="C67" s="14" t="s">
        <v>199</v>
      </c>
      <c r="D67" s="15">
        <f>'Range Quantities'!C8</f>
        <v>3.6</v>
      </c>
      <c r="E67" s="16">
        <v>1.7</v>
      </c>
      <c r="F67" s="26">
        <v>4</v>
      </c>
      <c r="G67" s="16" t="s">
        <v>40</v>
      </c>
      <c r="H67" s="125"/>
      <c r="I67" s="125"/>
      <c r="J67" s="304"/>
      <c r="K67" s="12"/>
    </row>
    <row r="68" spans="2:12" x14ac:dyDescent="0.25">
      <c r="B68" s="6"/>
      <c r="C68" s="20" t="s">
        <v>27</v>
      </c>
      <c r="D68" s="127">
        <v>6.5000000000000002E-2</v>
      </c>
      <c r="E68" s="22">
        <v>1.7</v>
      </c>
      <c r="F68" s="23">
        <v>4</v>
      </c>
      <c r="G68" s="20"/>
      <c r="H68" s="6"/>
      <c r="I68" s="128"/>
      <c r="J68" s="128"/>
      <c r="K68" s="12"/>
    </row>
    <row r="69" spans="2:12" x14ac:dyDescent="0.25">
      <c r="B69" s="6"/>
      <c r="C69" s="20" t="s">
        <v>28</v>
      </c>
      <c r="D69" s="21">
        <v>0.54</v>
      </c>
      <c r="E69" s="22">
        <v>1.7</v>
      </c>
      <c r="F69" s="23">
        <v>4</v>
      </c>
      <c r="G69" s="28"/>
      <c r="H69" s="6"/>
      <c r="I69" s="128"/>
      <c r="J69" s="128"/>
      <c r="K69" s="12"/>
    </row>
    <row r="70" spans="2:12" x14ac:dyDescent="0.25">
      <c r="B70" s="6"/>
      <c r="C70" s="20" t="s">
        <v>29</v>
      </c>
      <c r="D70" s="21">
        <v>1.8</v>
      </c>
      <c r="E70" s="22">
        <v>1.7</v>
      </c>
      <c r="F70" s="23">
        <v>4</v>
      </c>
      <c r="G70" s="22"/>
      <c r="H70" s="6"/>
      <c r="I70" s="128"/>
      <c r="J70" s="128"/>
      <c r="K70" s="12"/>
    </row>
    <row r="71" spans="2:12" x14ac:dyDescent="0.25">
      <c r="B71" s="6"/>
      <c r="C71" s="20" t="s">
        <v>30</v>
      </c>
      <c r="D71" s="21">
        <v>1.8</v>
      </c>
      <c r="E71" s="22">
        <v>1.7</v>
      </c>
      <c r="F71" s="23">
        <v>4</v>
      </c>
      <c r="G71" s="22"/>
      <c r="H71" s="6"/>
      <c r="I71" s="128"/>
      <c r="J71" s="128"/>
      <c r="K71" s="12"/>
    </row>
    <row r="72" spans="2:12" x14ac:dyDescent="0.25">
      <c r="B72" s="6"/>
      <c r="C72" s="20" t="s">
        <v>31</v>
      </c>
      <c r="D72" s="21">
        <v>0.73</v>
      </c>
      <c r="E72" s="22">
        <v>1.7</v>
      </c>
      <c r="F72" s="23">
        <v>4</v>
      </c>
      <c r="G72" s="22"/>
      <c r="H72" s="6"/>
      <c r="I72" s="128"/>
      <c r="J72" s="128"/>
      <c r="K72" s="12"/>
    </row>
    <row r="73" spans="2:12" x14ac:dyDescent="0.25">
      <c r="B73" s="6"/>
      <c r="C73" s="49" t="s">
        <v>42</v>
      </c>
      <c r="D73" s="50">
        <v>1.8</v>
      </c>
      <c r="E73" s="51">
        <v>1.7</v>
      </c>
      <c r="F73" s="52">
        <v>4</v>
      </c>
      <c r="G73" s="53"/>
      <c r="H73" s="6"/>
      <c r="I73" s="128"/>
      <c r="J73" s="128"/>
      <c r="K73" s="12"/>
    </row>
    <row r="74" spans="2:12" x14ac:dyDescent="0.25">
      <c r="B74" s="6"/>
      <c r="C74" s="57" t="s">
        <v>50</v>
      </c>
      <c r="D74" s="58">
        <f>'Range Quantities'!C38</f>
        <v>9</v>
      </c>
      <c r="E74" s="59">
        <v>1.7</v>
      </c>
      <c r="F74" s="60">
        <v>4</v>
      </c>
      <c r="G74" s="59" t="s">
        <v>51</v>
      </c>
      <c r="H74" s="6"/>
      <c r="I74" s="128"/>
      <c r="J74" s="128"/>
      <c r="K74" s="12"/>
    </row>
    <row r="75" spans="2:12" x14ac:dyDescent="0.25">
      <c r="B75" s="6"/>
      <c r="C75" s="57" t="s">
        <v>52</v>
      </c>
      <c r="D75" s="58">
        <f>'Range Quantities'!C36</f>
        <v>6</v>
      </c>
      <c r="E75" s="59">
        <v>1.7</v>
      </c>
      <c r="F75" s="60">
        <v>4</v>
      </c>
      <c r="G75" s="60" t="s">
        <v>53</v>
      </c>
      <c r="H75" s="6"/>
      <c r="I75" s="128"/>
      <c r="J75" s="128"/>
      <c r="K75" s="12" t="s">
        <v>54</v>
      </c>
    </row>
    <row r="76" spans="2:12" x14ac:dyDescent="0.25">
      <c r="B76" s="6"/>
      <c r="C76" s="62" t="s">
        <v>55</v>
      </c>
      <c r="D76" s="63">
        <f>'Range Quantities'!C32</f>
        <v>0.75</v>
      </c>
      <c r="E76" s="64">
        <v>1.7</v>
      </c>
      <c r="F76" s="65">
        <v>4</v>
      </c>
      <c r="G76" s="64" t="s">
        <v>56</v>
      </c>
      <c r="H76" s="6"/>
      <c r="I76" s="128"/>
      <c r="J76" s="128"/>
      <c r="K76" s="12"/>
      <c r="L76" t="s">
        <v>204</v>
      </c>
    </row>
    <row r="77" spans="2:12" x14ac:dyDescent="0.25">
      <c r="B77" s="6"/>
      <c r="C77" s="62" t="s">
        <v>43</v>
      </c>
      <c r="D77" s="63">
        <f>'Range Quantities'!C31</f>
        <v>3.5</v>
      </c>
      <c r="E77" s="64">
        <v>1.7</v>
      </c>
      <c r="F77" s="65">
        <v>4</v>
      </c>
      <c r="G77" s="66" t="s">
        <v>44</v>
      </c>
      <c r="H77" s="6"/>
      <c r="I77" s="128"/>
      <c r="J77" s="128"/>
      <c r="K77" s="12"/>
    </row>
    <row r="78" spans="2:12" x14ac:dyDescent="0.25">
      <c r="B78" s="6"/>
      <c r="C78" s="132"/>
      <c r="D78" s="133"/>
      <c r="E78" s="134"/>
      <c r="F78" s="193"/>
      <c r="G78" s="134"/>
      <c r="H78" s="137"/>
      <c r="I78" s="134"/>
      <c r="J78" s="134"/>
      <c r="K78" s="12"/>
    </row>
    <row r="79" spans="2:12" x14ac:dyDescent="0.25">
      <c r="B79" s="121">
        <v>46202</v>
      </c>
      <c r="C79" s="14" t="s">
        <v>71</v>
      </c>
      <c r="D79" s="16">
        <f>'Range Quantities'!C15</f>
        <v>0.7</v>
      </c>
      <c r="E79" s="16">
        <v>1.7</v>
      </c>
      <c r="F79" s="16">
        <v>4</v>
      </c>
      <c r="G79" s="16"/>
      <c r="H79" s="23" t="s">
        <v>72</v>
      </c>
      <c r="I79" s="38"/>
      <c r="J79" s="38">
        <v>7</v>
      </c>
      <c r="K79" s="12"/>
    </row>
    <row r="80" spans="2:12" x14ac:dyDescent="0.25">
      <c r="B80" s="12"/>
      <c r="C80" s="986" t="s">
        <v>27</v>
      </c>
      <c r="D80" s="37">
        <v>6.5000000000000002E-2</v>
      </c>
      <c r="E80" s="38">
        <v>1.7</v>
      </c>
      <c r="F80" s="23">
        <v>4</v>
      </c>
      <c r="G80" s="38"/>
      <c r="H80" s="169"/>
      <c r="I80" s="38"/>
      <c r="J80" s="38"/>
      <c r="K80" s="12"/>
    </row>
    <row r="81" spans="2:11" x14ac:dyDescent="0.25">
      <c r="B81" s="13"/>
      <c r="C81" s="170" t="s">
        <v>28</v>
      </c>
      <c r="D81" s="171">
        <v>0.54</v>
      </c>
      <c r="E81" s="172">
        <v>1.7</v>
      </c>
      <c r="F81" s="23">
        <v>4</v>
      </c>
      <c r="G81" s="173"/>
      <c r="H81" s="174"/>
      <c r="I81" s="172"/>
      <c r="J81" s="38"/>
      <c r="K81" s="12"/>
    </row>
    <row r="82" spans="2:11" x14ac:dyDescent="0.25">
      <c r="B82" s="6"/>
      <c r="C82" s="170" t="s">
        <v>29</v>
      </c>
      <c r="D82" s="171">
        <v>1.8</v>
      </c>
      <c r="E82" s="172">
        <v>1.7</v>
      </c>
      <c r="F82" s="23">
        <v>4</v>
      </c>
      <c r="G82" s="172"/>
      <c r="H82" s="174"/>
      <c r="I82" s="172"/>
      <c r="J82" s="38"/>
      <c r="K82" s="12"/>
    </row>
    <row r="83" spans="2:11" x14ac:dyDescent="0.25">
      <c r="B83" s="6"/>
      <c r="C83" s="170" t="s">
        <v>30</v>
      </c>
      <c r="D83" s="171">
        <v>1.8</v>
      </c>
      <c r="E83" s="172">
        <v>1.7</v>
      </c>
      <c r="F83" s="23">
        <v>4</v>
      </c>
      <c r="G83" s="172"/>
      <c r="H83" s="161"/>
      <c r="I83" s="172"/>
      <c r="J83" s="38"/>
      <c r="K83" s="12"/>
    </row>
    <row r="84" spans="2:11" x14ac:dyDescent="0.25">
      <c r="B84" s="6"/>
      <c r="C84" s="170" t="s">
        <v>31</v>
      </c>
      <c r="D84" s="171">
        <v>0.73</v>
      </c>
      <c r="E84" s="172">
        <v>1.7</v>
      </c>
      <c r="F84" s="23">
        <v>4</v>
      </c>
      <c r="G84" s="172"/>
      <c r="H84" s="175"/>
      <c r="I84" s="38"/>
      <c r="J84" s="38"/>
      <c r="K84" s="12"/>
    </row>
    <row r="85" spans="2:11" x14ac:dyDescent="0.25">
      <c r="B85" s="6"/>
      <c r="C85" s="176" t="s">
        <v>42</v>
      </c>
      <c r="D85" s="177">
        <v>1.8</v>
      </c>
      <c r="E85" s="178">
        <v>1.7</v>
      </c>
      <c r="F85" s="179">
        <v>4</v>
      </c>
      <c r="G85" s="180"/>
      <c r="H85" s="6"/>
      <c r="I85" s="19"/>
      <c r="J85" s="19"/>
      <c r="K85" s="12"/>
    </row>
    <row r="86" spans="2:11" x14ac:dyDescent="0.25">
      <c r="B86" s="6"/>
      <c r="C86" s="57" t="s">
        <v>50</v>
      </c>
      <c r="D86" s="58">
        <f>'Range Quantities'!C38</f>
        <v>9</v>
      </c>
      <c r="E86" s="59">
        <v>1.7</v>
      </c>
      <c r="F86" s="60">
        <v>4</v>
      </c>
      <c r="G86" s="59" t="s">
        <v>51</v>
      </c>
      <c r="H86" s="6"/>
      <c r="I86" s="19"/>
      <c r="J86" s="19"/>
      <c r="K86" s="12"/>
    </row>
    <row r="87" spans="2:11" x14ac:dyDescent="0.25">
      <c r="B87" s="181"/>
      <c r="C87" s="57" t="s">
        <v>196</v>
      </c>
      <c r="D87" s="58">
        <f>'Range Quantities'!C35</f>
        <v>6</v>
      </c>
      <c r="E87" s="59">
        <v>1.7</v>
      </c>
      <c r="F87" s="60">
        <v>4</v>
      </c>
      <c r="G87" s="59" t="s">
        <v>15</v>
      </c>
      <c r="H87" s="6"/>
      <c r="I87" s="19"/>
      <c r="J87" s="19"/>
      <c r="K87" s="12"/>
    </row>
    <row r="88" spans="2:11" x14ac:dyDescent="0.25">
      <c r="B88" s="6"/>
      <c r="C88" s="57" t="s">
        <v>52</v>
      </c>
      <c r="D88" s="58">
        <f>'Range Quantities'!C36</f>
        <v>6</v>
      </c>
      <c r="E88" s="59">
        <v>1.7</v>
      </c>
      <c r="F88" s="60">
        <v>4</v>
      </c>
      <c r="G88" s="59" t="s">
        <v>53</v>
      </c>
      <c r="H88" s="6"/>
      <c r="I88" s="19"/>
      <c r="J88" s="19"/>
      <c r="K88" s="12" t="s">
        <v>54</v>
      </c>
    </row>
    <row r="89" spans="2:11" x14ac:dyDescent="0.25">
      <c r="B89" s="6"/>
      <c r="C89" s="1122" t="s">
        <v>55</v>
      </c>
      <c r="D89" s="1123">
        <f>'Range Quantities'!C32</f>
        <v>0.75</v>
      </c>
      <c r="E89" s="66">
        <v>1.7</v>
      </c>
      <c r="F89" s="65">
        <v>4</v>
      </c>
      <c r="G89" s="66" t="s">
        <v>56</v>
      </c>
      <c r="H89" s="12"/>
      <c r="I89" s="12"/>
      <c r="J89" s="12"/>
      <c r="K89" s="12"/>
    </row>
    <row r="90" spans="2:11" x14ac:dyDescent="0.25">
      <c r="B90" s="6"/>
      <c r="C90" s="62" t="s">
        <v>43</v>
      </c>
      <c r="D90" s="63">
        <f>'Range Quantities'!C31</f>
        <v>3.5</v>
      </c>
      <c r="E90" s="64">
        <v>1.7</v>
      </c>
      <c r="F90" s="65">
        <v>4</v>
      </c>
      <c r="G90" s="66" t="s">
        <v>44</v>
      </c>
      <c r="H90" s="12"/>
      <c r="I90" s="12"/>
      <c r="J90" s="12"/>
      <c r="K90" s="12"/>
    </row>
    <row r="91" spans="2:11" x14ac:dyDescent="0.25">
      <c r="B91" s="7"/>
      <c r="C91" s="7"/>
      <c r="D91" s="8"/>
      <c r="E91" s="9"/>
      <c r="F91" s="25"/>
      <c r="G91" s="9"/>
      <c r="H91" s="188"/>
      <c r="I91" s="9"/>
      <c r="J91" s="9"/>
      <c r="K91" s="585"/>
    </row>
    <row r="92" spans="2:11" x14ac:dyDescent="0.25">
      <c r="B92" s="121">
        <v>46209</v>
      </c>
      <c r="C92" s="139" t="s">
        <v>63</v>
      </c>
      <c r="D92" s="982">
        <f>'Range Quantities'!C41</f>
        <v>0.5</v>
      </c>
      <c r="E92" s="982">
        <v>1.7</v>
      </c>
      <c r="F92" s="982">
        <v>4</v>
      </c>
      <c r="G92" s="982"/>
      <c r="H92" s="39"/>
      <c r="I92" s="19"/>
      <c r="J92" s="19"/>
      <c r="K92" s="12"/>
    </row>
    <row r="93" spans="2:11" x14ac:dyDescent="0.25">
      <c r="B93" s="6"/>
      <c r="C93" s="54" t="s">
        <v>69</v>
      </c>
      <c r="D93" s="56">
        <f>'Range Quantities'!C24</f>
        <v>16</v>
      </c>
      <c r="E93" s="56">
        <v>1.7</v>
      </c>
      <c r="F93" s="56">
        <v>4</v>
      </c>
      <c r="G93" s="56" t="s">
        <v>70</v>
      </c>
      <c r="H93" s="39"/>
      <c r="I93" s="19"/>
      <c r="J93" s="19"/>
      <c r="K93" s="12"/>
    </row>
    <row r="94" spans="2:11" x14ac:dyDescent="0.25">
      <c r="B94" s="2"/>
      <c r="C94" s="7"/>
      <c r="D94" s="8"/>
      <c r="E94" s="9"/>
      <c r="F94" s="25"/>
      <c r="G94" s="9"/>
      <c r="H94" s="188"/>
      <c r="I94" s="9"/>
      <c r="J94" s="9"/>
      <c r="K94" s="12"/>
    </row>
    <row r="95" spans="2:11" x14ac:dyDescent="0.25">
      <c r="B95" s="95">
        <v>46216</v>
      </c>
      <c r="C95" s="14" t="s">
        <v>199</v>
      </c>
      <c r="D95" s="15">
        <f>'Range Quantities'!C8</f>
        <v>3.6</v>
      </c>
      <c r="E95" s="16">
        <v>1.7</v>
      </c>
      <c r="F95" s="26">
        <v>4</v>
      </c>
      <c r="G95" s="16" t="s">
        <v>40</v>
      </c>
      <c r="H95" s="174"/>
      <c r="I95" s="96" t="s">
        <v>66</v>
      </c>
      <c r="J95" s="19" t="s">
        <v>205</v>
      </c>
      <c r="K95" s="12"/>
    </row>
    <row r="96" spans="2:11" x14ac:dyDescent="0.25">
      <c r="B96" s="95"/>
      <c r="C96" s="14" t="s">
        <v>206</v>
      </c>
      <c r="D96" s="15">
        <f>'Range Quantities'!C10</f>
        <v>0.27</v>
      </c>
      <c r="E96" s="16">
        <v>1.7</v>
      </c>
      <c r="F96" s="26">
        <v>4</v>
      </c>
      <c r="G96" s="16" t="s">
        <v>75</v>
      </c>
      <c r="H96" s="172" t="s">
        <v>76</v>
      </c>
      <c r="I96" s="1058"/>
      <c r="J96" s="19">
        <v>11</v>
      </c>
      <c r="K96" s="12"/>
    </row>
    <row r="97" spans="2:11" x14ac:dyDescent="0.25">
      <c r="B97" s="13"/>
      <c r="C97" s="54" t="s">
        <v>77</v>
      </c>
      <c r="D97" s="55">
        <f>'Range Quantities'!C25</f>
        <v>0.28000000000000003</v>
      </c>
      <c r="E97" s="89">
        <v>1.7</v>
      </c>
      <c r="F97" s="156">
        <v>4</v>
      </c>
      <c r="G97" s="56" t="s">
        <v>78</v>
      </c>
      <c r="H97" s="161"/>
      <c r="I97" s="19"/>
      <c r="J97" s="19"/>
      <c r="K97" s="12"/>
    </row>
    <row r="98" spans="2:11" x14ac:dyDescent="0.25">
      <c r="B98" s="6"/>
      <c r="C98" s="170" t="s">
        <v>27</v>
      </c>
      <c r="D98" s="171">
        <v>6.5000000000000002E-2</v>
      </c>
      <c r="E98" s="172">
        <v>1.7</v>
      </c>
      <c r="F98" s="23">
        <v>4</v>
      </c>
      <c r="G98" s="172"/>
      <c r="H98" s="174"/>
      <c r="I98" s="172"/>
      <c r="J98" s="38"/>
      <c r="K98" s="12"/>
    </row>
    <row r="99" spans="2:11" x14ac:dyDescent="0.25">
      <c r="B99" s="6"/>
      <c r="C99" s="170" t="s">
        <v>41</v>
      </c>
      <c r="D99" s="171">
        <v>0.54</v>
      </c>
      <c r="E99" s="172">
        <v>1.7</v>
      </c>
      <c r="F99" s="23">
        <v>4</v>
      </c>
      <c r="G99" s="172"/>
      <c r="H99" s="174"/>
      <c r="I99" s="172"/>
      <c r="J99" s="38"/>
      <c r="K99" s="12"/>
    </row>
    <row r="100" spans="2:11" x14ac:dyDescent="0.25">
      <c r="B100" s="181"/>
      <c r="C100" s="170" t="s">
        <v>29</v>
      </c>
      <c r="D100" s="171">
        <v>1.8</v>
      </c>
      <c r="E100" s="172">
        <v>1.7</v>
      </c>
      <c r="F100" s="23">
        <v>4</v>
      </c>
      <c r="G100" s="172"/>
      <c r="H100" s="174"/>
      <c r="I100" s="172"/>
      <c r="J100" s="38"/>
      <c r="K100" s="12"/>
    </row>
    <row r="101" spans="2:11" x14ac:dyDescent="0.25">
      <c r="B101" s="181"/>
      <c r="C101" s="170" t="s">
        <v>30</v>
      </c>
      <c r="D101" s="171">
        <v>1.8</v>
      </c>
      <c r="E101" s="172">
        <v>1.7</v>
      </c>
      <c r="F101" s="23">
        <v>4</v>
      </c>
      <c r="G101" s="172"/>
      <c r="H101" s="174"/>
      <c r="I101" s="172"/>
      <c r="J101" s="38"/>
      <c r="K101" s="12"/>
    </row>
    <row r="102" spans="2:11" x14ac:dyDescent="0.25">
      <c r="B102" s="181"/>
      <c r="C102" s="170" t="s">
        <v>31</v>
      </c>
      <c r="D102" s="171">
        <v>0.73</v>
      </c>
      <c r="E102" s="172">
        <v>1.7</v>
      </c>
      <c r="F102" s="23">
        <v>4</v>
      </c>
      <c r="G102" s="172"/>
      <c r="H102" s="161"/>
      <c r="I102" s="172"/>
      <c r="J102" s="38"/>
      <c r="K102" s="12"/>
    </row>
    <row r="103" spans="2:11" x14ac:dyDescent="0.25">
      <c r="B103" s="181"/>
      <c r="C103" s="176" t="s">
        <v>42</v>
      </c>
      <c r="D103" s="177">
        <v>1.8</v>
      </c>
      <c r="E103" s="178">
        <v>1.7</v>
      </c>
      <c r="F103" s="179">
        <v>4</v>
      </c>
      <c r="G103" s="180"/>
      <c r="H103" s="175"/>
      <c r="I103" s="38"/>
      <c r="J103" s="38"/>
      <c r="K103" s="12"/>
    </row>
    <row r="104" spans="2:11" x14ac:dyDescent="0.25">
      <c r="B104" s="181"/>
      <c r="C104" s="57" t="s">
        <v>50</v>
      </c>
      <c r="D104" s="58">
        <f>'Range Quantities'!C38</f>
        <v>9</v>
      </c>
      <c r="E104" s="59">
        <v>1.7</v>
      </c>
      <c r="F104" s="60">
        <v>4</v>
      </c>
      <c r="G104" s="59" t="s">
        <v>51</v>
      </c>
      <c r="H104" s="6"/>
      <c r="I104" s="19"/>
      <c r="J104" s="19"/>
      <c r="K104" s="12"/>
    </row>
    <row r="105" spans="2:11" x14ac:dyDescent="0.25">
      <c r="B105" s="181"/>
      <c r="C105" s="57" t="s">
        <v>196</v>
      </c>
      <c r="D105" s="58">
        <f>'Range Quantities'!C35</f>
        <v>6</v>
      </c>
      <c r="E105" s="59">
        <v>1.7</v>
      </c>
      <c r="F105" s="60">
        <v>4</v>
      </c>
      <c r="G105" s="59" t="s">
        <v>15</v>
      </c>
      <c r="H105" s="6"/>
      <c r="I105" s="19"/>
      <c r="J105" s="19"/>
      <c r="K105" s="12"/>
    </row>
    <row r="106" spans="2:11" x14ac:dyDescent="0.25">
      <c r="B106" s="181"/>
      <c r="C106" s="57" t="s">
        <v>52</v>
      </c>
      <c r="D106" s="58">
        <f>'Range Quantities'!C36</f>
        <v>6</v>
      </c>
      <c r="E106" s="59">
        <v>1.7</v>
      </c>
      <c r="F106" s="60">
        <v>4</v>
      </c>
      <c r="G106" s="59" t="s">
        <v>53</v>
      </c>
      <c r="H106" s="6"/>
      <c r="I106" s="19"/>
      <c r="J106" s="19"/>
      <c r="K106" s="12" t="s">
        <v>54</v>
      </c>
    </row>
    <row r="107" spans="2:11" x14ac:dyDescent="0.25">
      <c r="B107" s="1107"/>
      <c r="C107" s="62" t="s">
        <v>43</v>
      </c>
      <c r="D107" s="63">
        <f>'Range Quantities'!C31</f>
        <v>3.5</v>
      </c>
      <c r="E107" s="64">
        <v>1.7</v>
      </c>
      <c r="F107" s="65">
        <v>4</v>
      </c>
      <c r="G107" s="66" t="s">
        <v>44</v>
      </c>
      <c r="H107" s="6"/>
      <c r="I107" s="19"/>
      <c r="J107" s="19"/>
      <c r="K107" s="12"/>
    </row>
    <row r="108" spans="2:11" x14ac:dyDescent="0.25">
      <c r="B108" s="12"/>
      <c r="C108" s="1104"/>
      <c r="D108" s="1104"/>
      <c r="E108" s="1104"/>
      <c r="F108" s="1104"/>
      <c r="G108" s="1104"/>
      <c r="H108" s="1104"/>
      <c r="I108" s="1104"/>
      <c r="J108" s="1104"/>
    </row>
    <row r="109" spans="2:11" x14ac:dyDescent="0.25">
      <c r="B109" s="918">
        <v>46230</v>
      </c>
      <c r="C109" s="14" t="s">
        <v>197</v>
      </c>
      <c r="D109" s="15">
        <f>'Range Quantities'!C4</f>
        <v>0.5</v>
      </c>
      <c r="E109" s="16">
        <v>1.7</v>
      </c>
      <c r="F109" s="16">
        <v>4</v>
      </c>
      <c r="G109" s="16" t="s">
        <v>22</v>
      </c>
      <c r="H109" s="39"/>
      <c r="I109" s="96" t="s">
        <v>66</v>
      </c>
      <c r="J109" s="19">
        <v>29</v>
      </c>
      <c r="K109" s="12"/>
    </row>
    <row r="110" spans="2:11" x14ac:dyDescent="0.25">
      <c r="B110" s="12"/>
      <c r="C110" s="14" t="s">
        <v>80</v>
      </c>
      <c r="D110" s="15">
        <f>'Range Quantities'!C11</f>
        <v>2</v>
      </c>
      <c r="E110" s="16">
        <v>1.7</v>
      </c>
      <c r="F110" s="16">
        <v>4</v>
      </c>
      <c r="G110" s="16" t="s">
        <v>81</v>
      </c>
      <c r="H110" s="174"/>
      <c r="I110" s="18" t="s">
        <v>19</v>
      </c>
      <c r="J110" s="19">
        <v>1</v>
      </c>
      <c r="K110" s="12"/>
    </row>
    <row r="111" spans="2:11" x14ac:dyDescent="0.25">
      <c r="B111" s="12"/>
      <c r="C111" s="14" t="s">
        <v>207</v>
      </c>
      <c r="D111" s="16">
        <f>'Range Quantities'!C18</f>
        <v>0.5</v>
      </c>
      <c r="E111" s="16">
        <v>1.7</v>
      </c>
      <c r="F111" s="16">
        <v>4</v>
      </c>
      <c r="G111" s="16" t="s">
        <v>83</v>
      </c>
      <c r="H111" s="174"/>
      <c r="I111" s="19"/>
      <c r="J111" s="19"/>
      <c r="K111" s="12"/>
    </row>
    <row r="112" spans="2:11" x14ac:dyDescent="0.25">
      <c r="B112" s="13"/>
      <c r="C112" s="170" t="s">
        <v>27</v>
      </c>
      <c r="D112" s="171">
        <v>6.5000000000000002E-2</v>
      </c>
      <c r="E112" s="172">
        <v>1.7</v>
      </c>
      <c r="F112" s="23">
        <v>4</v>
      </c>
      <c r="G112" s="172"/>
      <c r="H112" s="174"/>
      <c r="I112" s="172"/>
      <c r="J112" s="38"/>
      <c r="K112" s="12"/>
    </row>
    <row r="113" spans="2:11" x14ac:dyDescent="0.25">
      <c r="B113" s="6"/>
      <c r="C113" s="170" t="s">
        <v>28</v>
      </c>
      <c r="D113" s="171">
        <v>0.54</v>
      </c>
      <c r="E113" s="172">
        <v>1.7</v>
      </c>
      <c r="F113" s="23">
        <v>4</v>
      </c>
      <c r="G113" s="172"/>
      <c r="H113" s="174"/>
      <c r="I113" s="172"/>
      <c r="J113" s="38"/>
      <c r="K113" s="12"/>
    </row>
    <row r="114" spans="2:11" x14ac:dyDescent="0.25">
      <c r="B114" s="181"/>
      <c r="C114" s="170" t="s">
        <v>29</v>
      </c>
      <c r="D114" s="171">
        <v>1.8</v>
      </c>
      <c r="E114" s="172">
        <v>1.7</v>
      </c>
      <c r="F114" s="23">
        <v>4</v>
      </c>
      <c r="G114" s="172"/>
      <c r="H114" s="174"/>
      <c r="I114" s="172"/>
      <c r="J114" s="38"/>
      <c r="K114" s="12"/>
    </row>
    <row r="115" spans="2:11" x14ac:dyDescent="0.25">
      <c r="B115" s="181"/>
      <c r="C115" s="170" t="s">
        <v>30</v>
      </c>
      <c r="D115" s="171">
        <v>1.8</v>
      </c>
      <c r="E115" s="172">
        <v>1.7</v>
      </c>
      <c r="F115" s="23">
        <v>4</v>
      </c>
      <c r="G115" s="172"/>
      <c r="H115" s="174"/>
      <c r="I115" s="172"/>
      <c r="J115" s="38"/>
      <c r="K115" s="12"/>
    </row>
    <row r="116" spans="2:11" x14ac:dyDescent="0.25">
      <c r="B116" s="181"/>
      <c r="C116" s="170" t="s">
        <v>31</v>
      </c>
      <c r="D116" s="171">
        <v>0.73</v>
      </c>
      <c r="E116" s="172">
        <v>1.7</v>
      </c>
      <c r="F116" s="23">
        <v>4</v>
      </c>
      <c r="G116" s="172"/>
      <c r="H116" s="161"/>
      <c r="I116" s="172"/>
      <c r="J116" s="38"/>
      <c r="K116" s="12"/>
    </row>
    <row r="117" spans="2:11" x14ac:dyDescent="0.25">
      <c r="B117" s="181"/>
      <c r="C117" s="176" t="s">
        <v>42</v>
      </c>
      <c r="D117" s="177">
        <v>1.8</v>
      </c>
      <c r="E117" s="178">
        <v>1.7</v>
      </c>
      <c r="F117" s="179">
        <v>4</v>
      </c>
      <c r="G117" s="180"/>
      <c r="H117" s="175"/>
      <c r="I117" s="38"/>
      <c r="J117" s="38"/>
      <c r="K117" s="12"/>
    </row>
    <row r="118" spans="2:11" x14ac:dyDescent="0.25">
      <c r="B118" s="181"/>
      <c r="C118" s="57" t="s">
        <v>50</v>
      </c>
      <c r="D118" s="58">
        <f>'Range Quantities'!C38</f>
        <v>9</v>
      </c>
      <c r="E118" s="59">
        <v>1.7</v>
      </c>
      <c r="F118" s="60">
        <v>4</v>
      </c>
      <c r="G118" s="59" t="s">
        <v>51</v>
      </c>
      <c r="H118" s="6"/>
      <c r="I118" s="19"/>
      <c r="J118" s="19"/>
      <c r="K118" s="12"/>
    </row>
    <row r="119" spans="2:11" x14ac:dyDescent="0.25">
      <c r="B119" s="181"/>
      <c r="C119" s="57" t="s">
        <v>52</v>
      </c>
      <c r="D119" s="58">
        <f>'Range Quantities'!C36</f>
        <v>6</v>
      </c>
      <c r="E119" s="59">
        <v>1.7</v>
      </c>
      <c r="F119" s="60">
        <v>4</v>
      </c>
      <c r="G119" s="59" t="s">
        <v>53</v>
      </c>
      <c r="H119" s="6"/>
      <c r="I119" s="19"/>
      <c r="J119" s="19"/>
      <c r="K119" s="12" t="s">
        <v>54</v>
      </c>
    </row>
    <row r="120" spans="2:11" x14ac:dyDescent="0.25">
      <c r="B120" s="207"/>
      <c r="C120" s="62" t="s">
        <v>43</v>
      </c>
      <c r="D120" s="63">
        <f>'Range Quantities'!C31</f>
        <v>3.5</v>
      </c>
      <c r="E120" s="64">
        <v>1.7</v>
      </c>
      <c r="F120" s="65">
        <v>4</v>
      </c>
      <c r="G120" s="66" t="s">
        <v>44</v>
      </c>
      <c r="H120" s="6"/>
      <c r="I120" s="19"/>
      <c r="J120" s="19"/>
      <c r="K120" s="12"/>
    </row>
    <row r="121" spans="2:11" x14ac:dyDescent="0.25">
      <c r="B121" s="1108"/>
      <c r="C121" s="743"/>
      <c r="D121" s="744"/>
      <c r="E121" s="745"/>
      <c r="F121" s="1105"/>
      <c r="G121" s="70"/>
      <c r="H121" s="723"/>
      <c r="I121" s="745"/>
      <c r="J121" s="745"/>
      <c r="K121" s="585"/>
    </row>
    <row r="122" spans="2:11" x14ac:dyDescent="0.25">
      <c r="B122" s="95">
        <v>46237</v>
      </c>
      <c r="C122" s="139" t="s">
        <v>63</v>
      </c>
      <c r="D122" s="982">
        <f>'Range Quantities'!C41</f>
        <v>0.5</v>
      </c>
      <c r="E122" s="982">
        <v>1.7</v>
      </c>
      <c r="F122" s="982">
        <v>4</v>
      </c>
      <c r="G122" s="982"/>
      <c r="H122" s="39"/>
      <c r="I122" s="19"/>
      <c r="J122" s="19"/>
      <c r="K122" s="12"/>
    </row>
    <row r="123" spans="2:11" x14ac:dyDescent="0.25">
      <c r="B123" s="1107"/>
      <c r="C123" s="87" t="s">
        <v>64</v>
      </c>
      <c r="D123" s="89">
        <f>'Range Quantities'!C26</f>
        <v>0.73499999999999999</v>
      </c>
      <c r="E123" s="89">
        <v>1.7</v>
      </c>
      <c r="F123" s="89">
        <v>4</v>
      </c>
      <c r="G123" s="89" t="s">
        <v>65</v>
      </c>
      <c r="H123" s="39"/>
      <c r="I123" s="19"/>
      <c r="J123" s="19"/>
      <c r="K123" s="12"/>
    </row>
    <row r="124" spans="2:11" x14ac:dyDescent="0.25">
      <c r="B124" s="12"/>
      <c r="C124" s="1106"/>
      <c r="D124" s="744"/>
      <c r="E124" s="745"/>
      <c r="F124" s="70"/>
      <c r="G124" s="745"/>
      <c r="H124" s="745"/>
      <c r="I124" s="745"/>
      <c r="J124" s="745"/>
      <c r="K124" s="12"/>
    </row>
    <row r="125" spans="2:11" x14ac:dyDescent="0.25">
      <c r="B125" s="1077">
        <v>46244</v>
      </c>
      <c r="C125" s="221" t="s">
        <v>199</v>
      </c>
      <c r="D125" s="198">
        <f>'Range Quantities'!C8</f>
        <v>3.6</v>
      </c>
      <c r="E125" s="195">
        <v>1.7</v>
      </c>
      <c r="F125" s="26">
        <v>29</v>
      </c>
      <c r="G125" s="195" t="s">
        <v>40</v>
      </c>
      <c r="H125" s="6"/>
      <c r="I125" s="196"/>
      <c r="J125" s="305"/>
      <c r="K125" s="12"/>
    </row>
    <row r="126" spans="2:11" x14ac:dyDescent="0.25">
      <c r="B126" s="6"/>
      <c r="C126" s="212" t="s">
        <v>206</v>
      </c>
      <c r="D126" s="215">
        <f>'Range Quantities'!C10</f>
        <v>0.27</v>
      </c>
      <c r="E126" s="215">
        <v>1.7</v>
      </c>
      <c r="F126" s="215">
        <v>29</v>
      </c>
      <c r="G126" s="215" t="s">
        <v>75</v>
      </c>
      <c r="H126" s="128" t="s">
        <v>76</v>
      </c>
      <c r="I126" s="19"/>
      <c r="J126" s="128">
        <v>11</v>
      </c>
      <c r="K126" s="12"/>
    </row>
    <row r="127" spans="2:11" x14ac:dyDescent="0.25">
      <c r="B127" s="6"/>
      <c r="C127" s="200" t="s">
        <v>27</v>
      </c>
      <c r="D127" s="127">
        <v>6.5000000000000002E-2</v>
      </c>
      <c r="E127" s="159">
        <v>1.7</v>
      </c>
      <c r="F127" s="23">
        <v>29</v>
      </c>
      <c r="G127" s="159"/>
      <c r="H127" s="201"/>
      <c r="I127" s="159"/>
      <c r="J127" s="159"/>
      <c r="K127" s="12"/>
    </row>
    <row r="128" spans="2:11" x14ac:dyDescent="0.25">
      <c r="B128" s="181"/>
      <c r="C128" s="200" t="s">
        <v>41</v>
      </c>
      <c r="D128" s="127">
        <v>0.54</v>
      </c>
      <c r="E128" s="159">
        <v>1.7</v>
      </c>
      <c r="F128" s="23">
        <v>29</v>
      </c>
      <c r="G128" s="203"/>
      <c r="H128" s="175"/>
      <c r="I128" s="159"/>
      <c r="J128" s="159"/>
      <c r="K128" s="12"/>
    </row>
    <row r="129" spans="2:13" x14ac:dyDescent="0.25">
      <c r="B129" s="175"/>
      <c r="C129" s="200" t="s">
        <v>29</v>
      </c>
      <c r="D129" s="127">
        <v>1.8</v>
      </c>
      <c r="E129" s="159">
        <v>1.7</v>
      </c>
      <c r="F129" s="23">
        <v>29</v>
      </c>
      <c r="G129" s="159"/>
      <c r="H129" s="175"/>
      <c r="I129" s="159"/>
      <c r="J129" s="159"/>
      <c r="K129" s="12"/>
    </row>
    <row r="130" spans="2:13" x14ac:dyDescent="0.25">
      <c r="B130" s="181"/>
      <c r="C130" s="200" t="s">
        <v>30</v>
      </c>
      <c r="D130" s="127">
        <v>1.8</v>
      </c>
      <c r="E130" s="159">
        <v>1.7</v>
      </c>
      <c r="F130" s="23">
        <v>29</v>
      </c>
      <c r="G130" s="159"/>
      <c r="H130" s="175"/>
      <c r="I130" s="159"/>
      <c r="J130" s="159"/>
      <c r="K130" s="12"/>
    </row>
    <row r="131" spans="2:13" x14ac:dyDescent="0.25">
      <c r="B131" s="181"/>
      <c r="C131" s="200" t="s">
        <v>31</v>
      </c>
      <c r="D131" s="127">
        <v>0.73</v>
      </c>
      <c r="E131" s="159">
        <v>1.7</v>
      </c>
      <c r="F131" s="23">
        <v>29</v>
      </c>
      <c r="G131" s="159"/>
      <c r="H131" s="175"/>
      <c r="I131" s="159"/>
      <c r="J131" s="159"/>
      <c r="K131" s="12"/>
    </row>
    <row r="132" spans="2:13" x14ac:dyDescent="0.25">
      <c r="B132" s="181"/>
      <c r="C132" s="204" t="s">
        <v>42</v>
      </c>
      <c r="D132" s="205">
        <v>1.8</v>
      </c>
      <c r="E132" s="178">
        <v>1.7</v>
      </c>
      <c r="F132" s="206">
        <v>29</v>
      </c>
      <c r="G132" s="178"/>
      <c r="H132" s="6"/>
      <c r="I132" s="159"/>
      <c r="J132" s="159"/>
      <c r="K132" s="12"/>
    </row>
    <row r="133" spans="2:13" x14ac:dyDescent="0.25">
      <c r="B133" s="181"/>
      <c r="C133" s="57" t="s">
        <v>50</v>
      </c>
      <c r="D133" s="58">
        <f>'Fwy &amp; Tee Quantities '!C39</f>
        <v>0</v>
      </c>
      <c r="E133" s="59">
        <v>1.7</v>
      </c>
      <c r="F133" s="60">
        <v>29</v>
      </c>
      <c r="G133" s="59" t="s">
        <v>51</v>
      </c>
      <c r="H133" s="6"/>
      <c r="I133" s="128"/>
      <c r="J133" s="128"/>
      <c r="K133" s="12"/>
    </row>
    <row r="134" spans="2:13" x14ac:dyDescent="0.25">
      <c r="B134" s="181"/>
      <c r="C134" s="57" t="s">
        <v>52</v>
      </c>
      <c r="D134" s="58">
        <f>'Fwy &amp; Tee Quantities '!C37</f>
        <v>5</v>
      </c>
      <c r="E134" s="59">
        <v>1.7</v>
      </c>
      <c r="F134" s="60">
        <v>29</v>
      </c>
      <c r="G134" s="59" t="s">
        <v>53</v>
      </c>
      <c r="H134" s="6"/>
      <c r="I134" s="128"/>
      <c r="J134" s="128"/>
      <c r="K134" s="12" t="s">
        <v>54</v>
      </c>
    </row>
    <row r="135" spans="2:13" x14ac:dyDescent="0.25">
      <c r="B135" s="181"/>
      <c r="C135" s="62" t="s">
        <v>43</v>
      </c>
      <c r="D135" s="63">
        <f>'Fwy &amp; Tee Quantities '!C32</f>
        <v>0.75</v>
      </c>
      <c r="E135" s="64">
        <v>1.7</v>
      </c>
      <c r="F135" s="65">
        <v>29</v>
      </c>
      <c r="G135" s="66" t="s">
        <v>44</v>
      </c>
      <c r="H135" s="6"/>
      <c r="I135" s="128"/>
      <c r="J135" s="128"/>
      <c r="K135" s="12"/>
    </row>
    <row r="136" spans="2:13" x14ac:dyDescent="0.25">
      <c r="B136" s="12"/>
      <c r="C136" s="211"/>
      <c r="D136" s="185"/>
      <c r="E136" s="186"/>
      <c r="F136" s="187"/>
      <c r="G136" s="186"/>
      <c r="H136" s="188"/>
      <c r="I136" s="186"/>
      <c r="J136" s="186"/>
      <c r="K136" s="12"/>
    </row>
    <row r="137" spans="2:13" x14ac:dyDescent="0.25">
      <c r="B137" s="95">
        <v>46258</v>
      </c>
      <c r="C137" s="1072" t="s">
        <v>199</v>
      </c>
      <c r="D137" s="1103">
        <f>'Range Quantities'!C8</f>
        <v>3.6</v>
      </c>
      <c r="E137" s="26">
        <v>1.7</v>
      </c>
      <c r="F137" s="26">
        <v>4</v>
      </c>
      <c r="G137" s="26" t="s">
        <v>40</v>
      </c>
      <c r="H137" s="1102"/>
      <c r="I137" s="1101" t="s">
        <v>66</v>
      </c>
      <c r="J137" s="103" t="s">
        <v>67</v>
      </c>
      <c r="K137" s="12"/>
    </row>
    <row r="138" spans="2:13" x14ac:dyDescent="0.25">
      <c r="B138" s="95"/>
      <c r="C138" s="1072" t="s">
        <v>198</v>
      </c>
      <c r="D138" s="1103">
        <f>'Range Quantities'!C5</f>
        <v>4</v>
      </c>
      <c r="E138" s="26">
        <v>1.7</v>
      </c>
      <c r="F138" s="26">
        <v>4</v>
      </c>
      <c r="G138" s="26" t="s">
        <v>68</v>
      </c>
      <c r="H138" s="943"/>
      <c r="I138" s="1101"/>
      <c r="J138" s="103">
        <v>2</v>
      </c>
      <c r="K138" s="12"/>
    </row>
    <row r="139" spans="2:13" x14ac:dyDescent="0.25">
      <c r="B139" s="12"/>
      <c r="C139" s="54" t="s">
        <v>69</v>
      </c>
      <c r="D139" s="55">
        <f>'Range Quantities'!C24</f>
        <v>16</v>
      </c>
      <c r="E139" s="89">
        <v>1.7</v>
      </c>
      <c r="F139" s="156">
        <v>4</v>
      </c>
      <c r="G139" s="56" t="s">
        <v>70</v>
      </c>
      <c r="H139" s="29"/>
      <c r="I139" s="22"/>
      <c r="J139" s="22"/>
      <c r="K139" s="12"/>
    </row>
    <row r="140" spans="2:13" x14ac:dyDescent="0.25">
      <c r="B140" s="6"/>
      <c r="C140" s="20" t="s">
        <v>27</v>
      </c>
      <c r="D140" s="127"/>
      <c r="E140" s="159">
        <v>1.7</v>
      </c>
      <c r="F140" s="23">
        <v>4</v>
      </c>
      <c r="G140" s="103"/>
      <c r="H140" s="17"/>
      <c r="I140" s="22"/>
      <c r="J140" s="19"/>
      <c r="K140" s="12"/>
    </row>
    <row r="141" spans="2:13" x14ac:dyDescent="0.25">
      <c r="B141" s="6"/>
      <c r="C141" s="170" t="s">
        <v>41</v>
      </c>
      <c r="D141" s="21">
        <v>0.54</v>
      </c>
      <c r="E141" s="22">
        <v>1.7</v>
      </c>
      <c r="F141" s="23">
        <v>4</v>
      </c>
      <c r="G141" s="28"/>
      <c r="H141" s="17"/>
      <c r="I141" s="22"/>
      <c r="J141" s="19"/>
      <c r="K141" s="12"/>
      <c r="M141" s="981"/>
    </row>
    <row r="142" spans="2:13" x14ac:dyDescent="0.25">
      <c r="B142" s="161"/>
      <c r="C142" s="20" t="s">
        <v>29</v>
      </c>
      <c r="D142" s="21">
        <v>1.8</v>
      </c>
      <c r="E142" s="22">
        <v>1.7</v>
      </c>
      <c r="F142" s="23">
        <v>4</v>
      </c>
      <c r="G142" s="22"/>
      <c r="H142" s="17"/>
      <c r="I142" s="22"/>
      <c r="J142" s="19"/>
      <c r="K142" s="12"/>
    </row>
    <row r="143" spans="2:13" x14ac:dyDescent="0.25">
      <c r="B143" s="98"/>
      <c r="C143" s="20" t="s">
        <v>30</v>
      </c>
      <c r="D143" s="21">
        <v>1.8</v>
      </c>
      <c r="E143" s="22">
        <v>1.7</v>
      </c>
      <c r="F143" s="23">
        <v>4</v>
      </c>
      <c r="G143" s="22"/>
      <c r="H143" s="161"/>
      <c r="I143" s="22"/>
      <c r="J143" s="19"/>
      <c r="K143" s="12"/>
    </row>
    <row r="144" spans="2:13" x14ac:dyDescent="0.25">
      <c r="B144" s="6"/>
      <c r="C144" s="20" t="s">
        <v>31</v>
      </c>
      <c r="D144" s="21">
        <v>0.73</v>
      </c>
      <c r="E144" s="22">
        <v>1.7</v>
      </c>
      <c r="F144" s="23">
        <v>4</v>
      </c>
      <c r="G144" s="22"/>
      <c r="H144" s="98"/>
      <c r="I144" s="19"/>
      <c r="J144" s="19"/>
      <c r="K144" s="12"/>
    </row>
    <row r="145" spans="2:17" x14ac:dyDescent="0.25">
      <c r="B145" s="6"/>
      <c r="C145" s="49" t="s">
        <v>42</v>
      </c>
      <c r="D145" s="50">
        <v>1.8</v>
      </c>
      <c r="E145" s="51">
        <v>1.7</v>
      </c>
      <c r="F145" s="52">
        <v>4</v>
      </c>
      <c r="G145" s="53"/>
      <c r="H145" s="6"/>
      <c r="I145" s="19"/>
      <c r="J145" s="19"/>
      <c r="K145" s="12"/>
    </row>
    <row r="146" spans="2:17" x14ac:dyDescent="0.25">
      <c r="B146" s="6"/>
      <c r="C146" s="57" t="s">
        <v>50</v>
      </c>
      <c r="D146" s="58">
        <f>'Range Quantities'!C38</f>
        <v>9</v>
      </c>
      <c r="E146" s="59">
        <v>1.7</v>
      </c>
      <c r="F146" s="60">
        <v>4</v>
      </c>
      <c r="G146" s="59" t="s">
        <v>51</v>
      </c>
      <c r="H146" s="6"/>
      <c r="I146" s="19"/>
      <c r="J146" s="19"/>
      <c r="K146" s="12"/>
    </row>
    <row r="147" spans="2:17" x14ac:dyDescent="0.25">
      <c r="B147" s="6"/>
      <c r="C147" s="57" t="s">
        <v>52</v>
      </c>
      <c r="D147" s="58">
        <f>'Range Quantities'!C36</f>
        <v>6</v>
      </c>
      <c r="E147" s="59">
        <v>1.7</v>
      </c>
      <c r="F147" s="60">
        <v>4</v>
      </c>
      <c r="G147" s="59" t="s">
        <v>53</v>
      </c>
      <c r="H147" s="6"/>
      <c r="I147" s="19"/>
      <c r="J147" s="19"/>
      <c r="K147" s="12" t="s">
        <v>54</v>
      </c>
    </row>
    <row r="148" spans="2:17" x14ac:dyDescent="0.25">
      <c r="B148" s="6"/>
      <c r="C148" s="62" t="s">
        <v>43</v>
      </c>
      <c r="D148" s="63">
        <f>'Range Quantities'!C31</f>
        <v>3.5</v>
      </c>
      <c r="E148" s="64">
        <v>1.7</v>
      </c>
      <c r="F148" s="65">
        <v>4</v>
      </c>
      <c r="G148" s="66" t="s">
        <v>44</v>
      </c>
      <c r="H148" s="12"/>
      <c r="I148" s="12"/>
      <c r="J148" s="12"/>
      <c r="K148" s="12"/>
    </row>
    <row r="149" spans="2:17" x14ac:dyDescent="0.25">
      <c r="B149" s="6"/>
      <c r="C149" s="743"/>
      <c r="D149" s="744"/>
      <c r="E149" s="745"/>
      <c r="F149" s="1105"/>
      <c r="G149" s="70"/>
      <c r="H149" s="585"/>
      <c r="I149" s="585"/>
      <c r="J149" s="585"/>
      <c r="K149" s="12"/>
    </row>
    <row r="150" spans="2:17" x14ac:dyDescent="0.25">
      <c r="B150" s="987">
        <v>46265</v>
      </c>
      <c r="C150" s="139" t="s">
        <v>63</v>
      </c>
      <c r="D150" s="982">
        <f>'Range Quantities'!C41</f>
        <v>0.5</v>
      </c>
      <c r="E150" s="982">
        <v>1.7</v>
      </c>
      <c r="F150" s="982">
        <v>29</v>
      </c>
      <c r="G150" s="139"/>
      <c r="H150" s="6"/>
      <c r="I150" s="128"/>
      <c r="J150" s="128"/>
      <c r="K150" s="12"/>
    </row>
    <row r="151" spans="2:17" x14ac:dyDescent="0.25">
      <c r="B151" s="585"/>
      <c r="C151" s="743"/>
      <c r="D151" s="744"/>
      <c r="E151" s="745"/>
      <c r="F151" s="70"/>
      <c r="G151" s="745"/>
      <c r="H151" s="723"/>
      <c r="I151" s="745"/>
      <c r="J151" s="745"/>
      <c r="K151" s="585"/>
    </row>
    <row r="152" spans="2:17" x14ac:dyDescent="0.25">
      <c r="B152" s="95">
        <v>46272</v>
      </c>
      <c r="C152" s="14" t="s">
        <v>208</v>
      </c>
      <c r="D152" s="15">
        <f>'Range Quantities'!C19</f>
        <v>0.26</v>
      </c>
      <c r="E152" s="16">
        <v>1.7</v>
      </c>
      <c r="F152" s="16">
        <v>4</v>
      </c>
      <c r="G152" s="16" t="s">
        <v>91</v>
      </c>
      <c r="H152" s="39" t="s">
        <v>72</v>
      </c>
      <c r="I152" s="96" t="s">
        <v>92</v>
      </c>
      <c r="J152" s="19">
        <v>7</v>
      </c>
      <c r="K152" s="12"/>
    </row>
    <row r="153" spans="2:17" x14ac:dyDescent="0.25">
      <c r="B153" s="12"/>
      <c r="C153" s="170" t="s">
        <v>27</v>
      </c>
      <c r="D153" s="171">
        <v>6.5000000000000002E-2</v>
      </c>
      <c r="E153" s="172">
        <v>1.7</v>
      </c>
      <c r="F153" s="23">
        <v>4</v>
      </c>
      <c r="G153" s="128"/>
      <c r="H153" s="6"/>
      <c r="I153" s="128"/>
      <c r="J153" s="128"/>
      <c r="K153" s="12"/>
    </row>
    <row r="154" spans="2:17" x14ac:dyDescent="0.25">
      <c r="B154" s="13"/>
      <c r="C154" s="170" t="s">
        <v>28</v>
      </c>
      <c r="D154" s="171">
        <v>0.54</v>
      </c>
      <c r="E154" s="172">
        <v>1.7</v>
      </c>
      <c r="F154" s="23">
        <v>4</v>
      </c>
      <c r="G154" s="128"/>
      <c r="H154" s="6"/>
      <c r="I154" s="128"/>
      <c r="J154" s="128"/>
      <c r="K154" s="12"/>
    </row>
    <row r="155" spans="2:17" x14ac:dyDescent="0.25">
      <c r="B155" s="6"/>
      <c r="C155" s="170" t="s">
        <v>29</v>
      </c>
      <c r="D155" s="171">
        <v>1.8</v>
      </c>
      <c r="E155" s="172">
        <v>1.7</v>
      </c>
      <c r="F155" s="23">
        <v>4</v>
      </c>
      <c r="G155" s="128"/>
      <c r="H155" s="6"/>
      <c r="I155" s="128"/>
      <c r="J155" s="128"/>
      <c r="K155" s="12"/>
    </row>
    <row r="156" spans="2:17" x14ac:dyDescent="0.25">
      <c r="B156" s="6"/>
      <c r="C156" s="170" t="s">
        <v>30</v>
      </c>
      <c r="D156" s="171">
        <v>1.8</v>
      </c>
      <c r="E156" s="172">
        <v>1.7</v>
      </c>
      <c r="F156" s="23">
        <v>4</v>
      </c>
      <c r="G156" s="128"/>
      <c r="H156" s="6"/>
      <c r="I156" s="128"/>
      <c r="J156" s="128"/>
      <c r="K156" s="12"/>
    </row>
    <row r="157" spans="2:17" x14ac:dyDescent="0.25">
      <c r="B157" s="6"/>
      <c r="C157" s="170" t="s">
        <v>31</v>
      </c>
      <c r="D157" s="171">
        <v>0.73</v>
      </c>
      <c r="E157" s="172">
        <v>1.7</v>
      </c>
      <c r="F157" s="23">
        <v>4</v>
      </c>
      <c r="G157" s="128"/>
      <c r="H157" s="6"/>
      <c r="I157" s="128"/>
      <c r="J157" s="128"/>
      <c r="K157" s="12"/>
    </row>
    <row r="158" spans="2:17" x14ac:dyDescent="0.25">
      <c r="B158" s="6"/>
      <c r="C158" s="176" t="s">
        <v>42</v>
      </c>
      <c r="D158" s="177">
        <v>1.8</v>
      </c>
      <c r="E158" s="178">
        <v>1.7</v>
      </c>
      <c r="F158" s="206">
        <v>4</v>
      </c>
      <c r="G158" s="178"/>
      <c r="H158" s="6"/>
      <c r="I158" s="128"/>
      <c r="J158" s="128"/>
      <c r="K158" s="12"/>
    </row>
    <row r="159" spans="2:17" x14ac:dyDescent="0.25">
      <c r="B159" s="6"/>
      <c r="C159" s="57" t="s">
        <v>50</v>
      </c>
      <c r="D159" s="58">
        <f>'Range Quantities'!C38</f>
        <v>9</v>
      </c>
      <c r="E159" s="59">
        <v>1.7</v>
      </c>
      <c r="F159" s="60">
        <v>4</v>
      </c>
      <c r="G159" s="59" t="s">
        <v>51</v>
      </c>
      <c r="H159" s="6"/>
      <c r="I159" s="128"/>
      <c r="J159" s="128"/>
      <c r="K159" s="12"/>
      <c r="Q159" t="s">
        <v>34</v>
      </c>
    </row>
    <row r="160" spans="2:17" x14ac:dyDescent="0.25">
      <c r="B160" s="161"/>
      <c r="C160" s="57" t="s">
        <v>52</v>
      </c>
      <c r="D160" s="58">
        <f>'Range Quantities'!C36</f>
        <v>6</v>
      </c>
      <c r="E160" s="59">
        <v>1.7</v>
      </c>
      <c r="F160" s="60">
        <v>4</v>
      </c>
      <c r="G160" s="59" t="s">
        <v>53</v>
      </c>
      <c r="H160" s="6"/>
      <c r="I160" s="128"/>
      <c r="J160" s="128"/>
      <c r="K160" s="12" t="s">
        <v>54</v>
      </c>
    </row>
    <row r="161" spans="2:11" x14ac:dyDescent="0.25">
      <c r="B161" s="161"/>
      <c r="C161" s="62" t="s">
        <v>43</v>
      </c>
      <c r="D161" s="63">
        <f>'Range Quantities'!C31</f>
        <v>3.5</v>
      </c>
      <c r="E161" s="64">
        <v>1.7</v>
      </c>
      <c r="F161" s="65">
        <v>4</v>
      </c>
      <c r="G161" s="66" t="s">
        <v>44</v>
      </c>
      <c r="H161" s="6"/>
      <c r="I161" s="128"/>
      <c r="J161" s="128"/>
      <c r="K161" s="12"/>
    </row>
    <row r="162" spans="2:11" x14ac:dyDescent="0.25">
      <c r="B162" s="6"/>
      <c r="C162" s="184"/>
      <c r="D162" s="185"/>
      <c r="E162" s="186"/>
      <c r="F162" s="187"/>
      <c r="G162" s="186"/>
      <c r="H162" s="188"/>
      <c r="I162" s="186"/>
      <c r="J162" s="186"/>
      <c r="K162" s="12"/>
    </row>
    <row r="163" spans="2:11" x14ac:dyDescent="0.25">
      <c r="B163" s="121">
        <v>46286</v>
      </c>
      <c r="C163" s="221" t="s">
        <v>209</v>
      </c>
      <c r="D163" s="198">
        <f>'Range Quantities'!C3</f>
        <v>1</v>
      </c>
      <c r="E163" s="195">
        <v>1.7</v>
      </c>
      <c r="F163" s="26">
        <v>4</v>
      </c>
      <c r="G163" s="195" t="s">
        <v>89</v>
      </c>
      <c r="H163" s="6" t="s">
        <v>18</v>
      </c>
      <c r="I163" s="196" t="s">
        <v>66</v>
      </c>
      <c r="J163" s="128">
        <v>3</v>
      </c>
      <c r="K163" s="12"/>
    </row>
    <row r="164" spans="2:11" x14ac:dyDescent="0.25">
      <c r="B164" s="12"/>
      <c r="C164" s="986" t="s">
        <v>27</v>
      </c>
      <c r="D164" s="37">
        <v>6.5000000000000002E-2</v>
      </c>
      <c r="E164" s="38">
        <v>1.7</v>
      </c>
      <c r="F164" s="23">
        <v>4</v>
      </c>
      <c r="G164" s="38"/>
      <c r="H164" s="39"/>
      <c r="I164" s="19"/>
      <c r="J164" s="19"/>
      <c r="K164" s="12"/>
    </row>
    <row r="165" spans="2:11" x14ac:dyDescent="0.25">
      <c r="B165" s="13"/>
      <c r="C165" s="200" t="s">
        <v>41</v>
      </c>
      <c r="D165" s="127">
        <v>0.54</v>
      </c>
      <c r="E165" s="159">
        <v>1.7</v>
      </c>
      <c r="F165" s="23">
        <v>4</v>
      </c>
      <c r="G165" s="203"/>
      <c r="H165" s="6"/>
      <c r="I165" s="128"/>
      <c r="J165" s="128"/>
      <c r="K165" s="12"/>
    </row>
    <row r="166" spans="2:11" x14ac:dyDescent="0.25">
      <c r="B166" s="6"/>
      <c r="C166" s="200" t="s">
        <v>29</v>
      </c>
      <c r="D166" s="127">
        <v>1.8</v>
      </c>
      <c r="E166" s="159">
        <v>1.7</v>
      </c>
      <c r="F166" s="23">
        <v>4</v>
      </c>
      <c r="G166" s="159"/>
      <c r="H166" s="6"/>
      <c r="I166" s="128"/>
      <c r="J166" s="128"/>
      <c r="K166" s="12"/>
    </row>
    <row r="167" spans="2:11" x14ac:dyDescent="0.25">
      <c r="B167" s="6"/>
      <c r="C167" s="200" t="s">
        <v>30</v>
      </c>
      <c r="D167" s="127">
        <v>1.8</v>
      </c>
      <c r="E167" s="159">
        <v>1.7</v>
      </c>
      <c r="F167" s="23">
        <v>4</v>
      </c>
      <c r="G167" s="159"/>
      <c r="H167" s="6"/>
      <c r="I167" s="128"/>
      <c r="J167" s="128"/>
      <c r="K167" s="12"/>
    </row>
    <row r="168" spans="2:11" x14ac:dyDescent="0.25">
      <c r="B168" s="6"/>
      <c r="C168" s="200" t="s">
        <v>31</v>
      </c>
      <c r="D168" s="127">
        <v>0.73</v>
      </c>
      <c r="E168" s="159">
        <v>1.7</v>
      </c>
      <c r="F168" s="23">
        <v>4</v>
      </c>
      <c r="G168" s="159"/>
      <c r="H168" s="6"/>
      <c r="I168" s="128"/>
      <c r="J168" s="128"/>
      <c r="K168" s="12"/>
    </row>
    <row r="169" spans="2:11" x14ac:dyDescent="0.25">
      <c r="B169" s="6"/>
      <c r="C169" s="204" t="s">
        <v>42</v>
      </c>
      <c r="D169" s="205">
        <v>1.8</v>
      </c>
      <c r="E169" s="178">
        <v>1.7</v>
      </c>
      <c r="F169" s="206">
        <v>4</v>
      </c>
      <c r="G169" s="178"/>
      <c r="H169" s="6"/>
      <c r="I169" s="128"/>
      <c r="J169" s="128"/>
      <c r="K169" s="12"/>
    </row>
    <row r="170" spans="2:11" x14ac:dyDescent="0.25">
      <c r="B170" s="6"/>
      <c r="C170" s="57" t="s">
        <v>50</v>
      </c>
      <c r="D170" s="58">
        <f>'Range Quantities'!C38</f>
        <v>9</v>
      </c>
      <c r="E170" s="59">
        <v>1.7</v>
      </c>
      <c r="F170" s="60">
        <v>4</v>
      </c>
      <c r="G170" s="59" t="s">
        <v>51</v>
      </c>
      <c r="H170" s="6"/>
      <c r="I170" s="128"/>
      <c r="J170" s="128"/>
      <c r="K170" s="12"/>
    </row>
    <row r="171" spans="2:11" x14ac:dyDescent="0.25">
      <c r="B171" s="6"/>
      <c r="C171" s="57" t="s">
        <v>52</v>
      </c>
      <c r="D171" s="58">
        <f>'Range Quantities'!C36</f>
        <v>6</v>
      </c>
      <c r="E171" s="59">
        <v>1.7</v>
      </c>
      <c r="F171" s="60">
        <v>4</v>
      </c>
      <c r="G171" s="59" t="s">
        <v>53</v>
      </c>
      <c r="H171" s="6"/>
      <c r="I171" s="128"/>
      <c r="J171" s="128"/>
      <c r="K171" s="12" t="s">
        <v>54</v>
      </c>
    </row>
    <row r="172" spans="2:11" x14ac:dyDescent="0.25">
      <c r="B172" s="6"/>
      <c r="C172" s="62" t="s">
        <v>55</v>
      </c>
      <c r="D172" s="64">
        <f>'Range Quantities'!C32</f>
        <v>0.75</v>
      </c>
      <c r="E172" s="64">
        <v>1.7</v>
      </c>
      <c r="F172" s="64">
        <v>4</v>
      </c>
      <c r="G172" s="64" t="s">
        <v>56</v>
      </c>
      <c r="H172" s="6"/>
      <c r="I172" s="128"/>
      <c r="J172" s="128"/>
      <c r="K172" s="12"/>
    </row>
    <row r="173" spans="2:11" x14ac:dyDescent="0.25">
      <c r="B173" s="6"/>
      <c r="C173" s="62" t="s">
        <v>43</v>
      </c>
      <c r="D173" s="63">
        <f>'Range Quantities'!C31</f>
        <v>3.5</v>
      </c>
      <c r="E173" s="64">
        <v>1.7</v>
      </c>
      <c r="F173" s="65">
        <v>4</v>
      </c>
      <c r="G173" s="66" t="s">
        <v>44</v>
      </c>
      <c r="H173" s="6"/>
      <c r="I173" s="128"/>
      <c r="J173" s="128"/>
      <c r="K173" s="12"/>
    </row>
    <row r="174" spans="2:11" x14ac:dyDescent="0.25">
      <c r="B174" s="184"/>
      <c r="C174" s="184"/>
      <c r="D174" s="185"/>
      <c r="E174" s="186"/>
      <c r="F174" s="187"/>
      <c r="G174" s="186"/>
      <c r="H174" s="188"/>
      <c r="I174" s="186"/>
      <c r="J174" s="186"/>
      <c r="K174" s="722"/>
    </row>
    <row r="175" spans="2:11" x14ac:dyDescent="0.25">
      <c r="B175" s="13">
        <v>46300</v>
      </c>
      <c r="C175" s="14" t="s">
        <v>170</v>
      </c>
      <c r="D175" s="15">
        <f>'Range Quantities'!C16</f>
        <v>0.32</v>
      </c>
      <c r="E175" s="16">
        <v>1.7</v>
      </c>
      <c r="F175" s="16">
        <v>4</v>
      </c>
      <c r="G175" s="26" t="s">
        <v>210</v>
      </c>
      <c r="H175" s="19" t="s">
        <v>72</v>
      </c>
      <c r="I175" s="27"/>
      <c r="J175" s="19">
        <v>7</v>
      </c>
      <c r="K175" s="12"/>
    </row>
    <row r="176" spans="2:11" x14ac:dyDescent="0.25">
      <c r="B176" s="13"/>
      <c r="C176" s="170" t="s">
        <v>27</v>
      </c>
      <c r="D176" s="171">
        <v>6.5000000000000002E-2</v>
      </c>
      <c r="E176" s="172">
        <v>1.7</v>
      </c>
      <c r="F176" s="23">
        <v>4</v>
      </c>
      <c r="G176" s="172"/>
      <c r="H176" s="218"/>
      <c r="I176" s="172"/>
      <c r="J176" s="38"/>
      <c r="K176" s="12"/>
    </row>
    <row r="177" spans="2:11" x14ac:dyDescent="0.25">
      <c r="B177" s="95"/>
      <c r="C177" s="170" t="s">
        <v>28</v>
      </c>
      <c r="D177" s="171">
        <v>0.54</v>
      </c>
      <c r="E177" s="172">
        <v>1.7</v>
      </c>
      <c r="F177" s="23">
        <v>4</v>
      </c>
      <c r="G177" s="173"/>
      <c r="H177" s="174"/>
      <c r="I177" s="172"/>
      <c r="J177" s="38"/>
      <c r="K177" s="12"/>
    </row>
    <row r="178" spans="2:11" x14ac:dyDescent="0.25">
      <c r="B178" s="13"/>
      <c r="C178" s="170" t="s">
        <v>29</v>
      </c>
      <c r="D178" s="171">
        <v>1.8</v>
      </c>
      <c r="E178" s="172">
        <v>1.7</v>
      </c>
      <c r="F178" s="23">
        <v>4</v>
      </c>
      <c r="G178" s="172"/>
      <c r="H178" s="174"/>
      <c r="I178" s="172"/>
      <c r="J178" s="38"/>
      <c r="K178" s="12"/>
    </row>
    <row r="179" spans="2:11" x14ac:dyDescent="0.25">
      <c r="B179" s="219"/>
      <c r="C179" s="170" t="s">
        <v>30</v>
      </c>
      <c r="D179" s="171">
        <v>1.8</v>
      </c>
      <c r="E179" s="172">
        <v>1.7</v>
      </c>
      <c r="F179" s="23">
        <v>4</v>
      </c>
      <c r="G179" s="172"/>
      <c r="H179" s="174"/>
      <c r="I179" s="172"/>
      <c r="J179" s="38"/>
      <c r="K179" s="12"/>
    </row>
    <row r="180" spans="2:11" x14ac:dyDescent="0.25">
      <c r="B180" s="219"/>
      <c r="C180" s="170" t="s">
        <v>31</v>
      </c>
      <c r="D180" s="171">
        <v>0.73</v>
      </c>
      <c r="E180" s="172">
        <v>1.7</v>
      </c>
      <c r="F180" s="23">
        <v>4</v>
      </c>
      <c r="G180" s="172"/>
      <c r="H180" s="161"/>
      <c r="I180" s="172"/>
      <c r="J180" s="38"/>
      <c r="K180" s="12"/>
    </row>
    <row r="181" spans="2:11" x14ac:dyDescent="0.25">
      <c r="B181" s="219"/>
      <c r="C181" s="176" t="s">
        <v>42</v>
      </c>
      <c r="D181" s="177">
        <v>1.8</v>
      </c>
      <c r="E181" s="178">
        <v>1.7</v>
      </c>
      <c r="F181" s="179">
        <v>4</v>
      </c>
      <c r="G181" s="180"/>
      <c r="H181" s="175"/>
      <c r="I181" s="38"/>
      <c r="J181" s="38"/>
      <c r="K181" s="12"/>
    </row>
    <row r="182" spans="2:11" x14ac:dyDescent="0.25">
      <c r="B182" s="219"/>
      <c r="C182" s="57" t="s">
        <v>50</v>
      </c>
      <c r="D182" s="58">
        <f>'Range Quantities'!C38</f>
        <v>9</v>
      </c>
      <c r="E182" s="59">
        <v>1.7</v>
      </c>
      <c r="F182" s="60">
        <v>4</v>
      </c>
      <c r="G182" s="59" t="s">
        <v>51</v>
      </c>
      <c r="H182" s="6"/>
      <c r="I182" s="19"/>
      <c r="J182" s="19"/>
      <c r="K182" s="12"/>
    </row>
    <row r="183" spans="2:11" x14ac:dyDescent="0.25">
      <c r="B183" s="219"/>
      <c r="C183" s="57" t="s">
        <v>52</v>
      </c>
      <c r="D183" s="58">
        <f>'Range Quantities'!C36</f>
        <v>6</v>
      </c>
      <c r="E183" s="59">
        <v>1.7</v>
      </c>
      <c r="F183" s="60">
        <v>4</v>
      </c>
      <c r="G183" s="59" t="s">
        <v>53</v>
      </c>
      <c r="H183" s="6"/>
      <c r="I183" s="19"/>
      <c r="J183" s="19"/>
      <c r="K183" s="12" t="s">
        <v>54</v>
      </c>
    </row>
    <row r="184" spans="2:11" x14ac:dyDescent="0.25">
      <c r="B184" s="219"/>
      <c r="C184" s="62" t="s">
        <v>55</v>
      </c>
      <c r="D184" s="63">
        <f>'Range Quantities'!C32</f>
        <v>0.75</v>
      </c>
      <c r="E184" s="64">
        <v>1.7</v>
      </c>
      <c r="F184" s="65">
        <v>4</v>
      </c>
      <c r="G184" s="64" t="s">
        <v>56</v>
      </c>
      <c r="H184" s="6"/>
      <c r="I184" s="19"/>
      <c r="J184" s="19"/>
      <c r="K184" s="12"/>
    </row>
    <row r="185" spans="2:11" x14ac:dyDescent="0.25">
      <c r="B185" s="219"/>
      <c r="C185" s="62" t="s">
        <v>43</v>
      </c>
      <c r="D185" s="63">
        <f>'Range Quantities'!C31</f>
        <v>3.5</v>
      </c>
      <c r="E185" s="64">
        <v>1.7</v>
      </c>
      <c r="F185" s="65">
        <v>4</v>
      </c>
      <c r="G185" s="66" t="s">
        <v>44</v>
      </c>
      <c r="H185" s="6"/>
      <c r="I185" s="19"/>
      <c r="J185" s="19"/>
      <c r="K185" s="12"/>
    </row>
    <row r="186" spans="2:11" x14ac:dyDescent="0.25">
      <c r="B186" s="39"/>
      <c r="C186" s="184"/>
      <c r="D186" s="185"/>
      <c r="E186" s="186"/>
      <c r="F186" s="187"/>
      <c r="G186" s="186"/>
      <c r="H186" s="188"/>
      <c r="I186" s="186"/>
      <c r="J186" s="186"/>
      <c r="K186" s="12"/>
    </row>
    <row r="187" spans="2:11" x14ac:dyDescent="0.25">
      <c r="B187" s="95">
        <v>46314</v>
      </c>
      <c r="C187" s="221" t="s">
        <v>199</v>
      </c>
      <c r="D187" s="198">
        <f>'Range Quantities'!C8</f>
        <v>3.6</v>
      </c>
      <c r="E187" s="195">
        <v>1.7</v>
      </c>
      <c r="F187" s="26">
        <v>4</v>
      </c>
      <c r="G187" s="195" t="s">
        <v>40</v>
      </c>
      <c r="H187" s="6"/>
      <c r="I187" s="19"/>
      <c r="J187" s="128"/>
      <c r="K187" s="12"/>
    </row>
    <row r="188" spans="2:11" x14ac:dyDescent="0.25">
      <c r="B188" s="95"/>
      <c r="C188" s="221" t="s">
        <v>198</v>
      </c>
      <c r="D188" s="198">
        <f>'Range Quantities'!C5</f>
        <v>4</v>
      </c>
      <c r="E188" s="195">
        <v>1.7</v>
      </c>
      <c r="F188" s="26">
        <v>4</v>
      </c>
      <c r="G188" s="195" t="s">
        <v>68</v>
      </c>
      <c r="H188" s="6"/>
      <c r="I188" s="19"/>
      <c r="J188" s="128"/>
      <c r="K188" s="12"/>
    </row>
    <row r="189" spans="2:11" x14ac:dyDescent="0.25">
      <c r="B189" s="12"/>
      <c r="C189" s="170" t="s">
        <v>27</v>
      </c>
      <c r="D189" s="171">
        <v>6.5000000000000002E-2</v>
      </c>
      <c r="E189" s="172">
        <v>1.7</v>
      </c>
      <c r="F189" s="23">
        <v>4</v>
      </c>
      <c r="G189" s="172"/>
      <c r="H189" s="201"/>
      <c r="I189" s="172"/>
      <c r="J189" s="38"/>
      <c r="K189" s="12"/>
    </row>
    <row r="190" spans="2:11" x14ac:dyDescent="0.25">
      <c r="B190" s="12"/>
      <c r="C190" s="170" t="s">
        <v>41</v>
      </c>
      <c r="D190" s="171">
        <v>0.54</v>
      </c>
      <c r="E190" s="172">
        <v>1.7</v>
      </c>
      <c r="F190" s="23">
        <v>4</v>
      </c>
      <c r="G190" s="173"/>
      <c r="H190" s="175"/>
      <c r="I190" s="172"/>
      <c r="J190" s="38"/>
      <c r="K190" s="12"/>
    </row>
    <row r="191" spans="2:11" x14ac:dyDescent="0.25">
      <c r="B191" s="13"/>
      <c r="C191" s="170" t="s">
        <v>29</v>
      </c>
      <c r="D191" s="171">
        <v>1.8</v>
      </c>
      <c r="E191" s="172">
        <v>1.7</v>
      </c>
      <c r="F191" s="23">
        <v>4</v>
      </c>
      <c r="G191" s="172"/>
      <c r="H191" s="175"/>
      <c r="I191" s="172"/>
      <c r="J191" s="38"/>
      <c r="K191" s="12"/>
    </row>
    <row r="192" spans="2:11" x14ac:dyDescent="0.25">
      <c r="B192" s="181"/>
      <c r="C192" s="170" t="s">
        <v>30</v>
      </c>
      <c r="D192" s="171">
        <v>1.8</v>
      </c>
      <c r="E192" s="172">
        <v>1.7</v>
      </c>
      <c r="F192" s="23">
        <v>4</v>
      </c>
      <c r="G192" s="172"/>
      <c r="H192" s="175"/>
      <c r="I192" s="172"/>
      <c r="J192" s="38"/>
      <c r="K192" s="12"/>
    </row>
    <row r="193" spans="2:11" x14ac:dyDescent="0.25">
      <c r="B193" s="175"/>
      <c r="C193" s="170" t="s">
        <v>31</v>
      </c>
      <c r="D193" s="171">
        <v>0.73</v>
      </c>
      <c r="E193" s="172">
        <v>1.7</v>
      </c>
      <c r="F193" s="23">
        <v>4</v>
      </c>
      <c r="G193" s="172"/>
      <c r="H193" s="86"/>
      <c r="I193" s="172"/>
      <c r="J193" s="38"/>
      <c r="K193" s="12"/>
    </row>
    <row r="194" spans="2:11" ht="24.75" customHeight="1" x14ac:dyDescent="0.25">
      <c r="B194" s="181"/>
      <c r="C194" s="176" t="s">
        <v>42</v>
      </c>
      <c r="D194" s="177">
        <v>1.8</v>
      </c>
      <c r="E194" s="178">
        <v>1.7</v>
      </c>
      <c r="F194" s="179">
        <v>4</v>
      </c>
      <c r="G194" s="180"/>
      <c r="H194" s="175"/>
      <c r="I194" s="38"/>
      <c r="J194" s="38"/>
      <c r="K194" s="12"/>
    </row>
    <row r="195" spans="2:11" x14ac:dyDescent="0.25">
      <c r="B195" s="181"/>
      <c r="C195" s="57" t="s">
        <v>50</v>
      </c>
      <c r="D195" s="58">
        <f>'Range Quantities'!C38</f>
        <v>9</v>
      </c>
      <c r="E195" s="59">
        <v>1.7</v>
      </c>
      <c r="F195" s="60">
        <v>4</v>
      </c>
      <c r="G195" s="59" t="s">
        <v>51</v>
      </c>
      <c r="H195" s="6"/>
      <c r="I195" s="19"/>
      <c r="J195" s="19"/>
      <c r="K195" s="12"/>
    </row>
    <row r="196" spans="2:11" x14ac:dyDescent="0.25">
      <c r="B196" s="181"/>
      <c r="C196" s="57" t="s">
        <v>52</v>
      </c>
      <c r="D196" s="58">
        <f>'Range Quantities'!C36</f>
        <v>6</v>
      </c>
      <c r="E196" s="59">
        <v>1.7</v>
      </c>
      <c r="F196" s="60">
        <v>4</v>
      </c>
      <c r="G196" s="59" t="s">
        <v>53</v>
      </c>
      <c r="H196" s="6"/>
      <c r="I196" s="19"/>
      <c r="J196" s="19"/>
      <c r="K196" s="12" t="s">
        <v>54</v>
      </c>
    </row>
    <row r="197" spans="2:11" x14ac:dyDescent="0.25">
      <c r="B197" s="181"/>
      <c r="C197" s="62" t="s">
        <v>55</v>
      </c>
      <c r="D197" s="63">
        <f>'Range Quantities'!C32</f>
        <v>0.75</v>
      </c>
      <c r="E197" s="64">
        <v>1.7</v>
      </c>
      <c r="F197" s="65">
        <v>4</v>
      </c>
      <c r="G197" s="64" t="s">
        <v>56</v>
      </c>
      <c r="H197" s="6"/>
      <c r="I197" s="19"/>
      <c r="J197" s="19"/>
      <c r="K197" s="12"/>
    </row>
    <row r="198" spans="2:11" x14ac:dyDescent="0.25">
      <c r="B198" s="6"/>
      <c r="C198" s="62" t="s">
        <v>43</v>
      </c>
      <c r="D198" s="63">
        <f>'Range Quantities'!C31</f>
        <v>3.5</v>
      </c>
      <c r="E198" s="64">
        <v>1.7</v>
      </c>
      <c r="F198" s="65">
        <v>4</v>
      </c>
      <c r="G198" s="66" t="s">
        <v>44</v>
      </c>
      <c r="H198" s="6"/>
      <c r="I198" s="19"/>
      <c r="J198" s="19"/>
      <c r="K198" s="12"/>
    </row>
    <row r="199" spans="2:11" x14ac:dyDescent="0.25">
      <c r="B199" s="743"/>
      <c r="C199" s="743"/>
      <c r="D199" s="744"/>
      <c r="E199" s="745"/>
      <c r="F199" s="70"/>
      <c r="G199" s="745"/>
      <c r="H199" s="723"/>
      <c r="I199" s="745"/>
      <c r="J199" s="745"/>
      <c r="K199" s="585"/>
    </row>
    <row r="200" spans="2:11" ht="24.75" x14ac:dyDescent="0.25">
      <c r="B200" s="95">
        <v>46342</v>
      </c>
      <c r="C200" s="232" t="s">
        <v>211</v>
      </c>
      <c r="D200" s="233">
        <v>8</v>
      </c>
      <c r="E200" s="234">
        <v>1.7</v>
      </c>
      <c r="F200" s="26">
        <v>4</v>
      </c>
      <c r="G200" s="1073" t="s">
        <v>212</v>
      </c>
      <c r="H200" s="19" t="s">
        <v>18</v>
      </c>
      <c r="I200" s="19"/>
      <c r="J200" s="161" t="s">
        <v>213</v>
      </c>
      <c r="K200" s="12"/>
    </row>
    <row r="201" spans="2:11" x14ac:dyDescent="0.25">
      <c r="B201" s="12"/>
      <c r="C201" s="170" t="s">
        <v>27</v>
      </c>
      <c r="D201" s="171">
        <v>6.5000000000000002E-2</v>
      </c>
      <c r="E201" s="172">
        <v>1.7</v>
      </c>
      <c r="F201" s="23">
        <v>4</v>
      </c>
      <c r="G201" s="172"/>
      <c r="H201" s="174"/>
      <c r="I201" s="172"/>
      <c r="J201" s="38"/>
      <c r="K201" s="239"/>
    </row>
    <row r="202" spans="2:11" x14ac:dyDescent="0.25">
      <c r="B202" s="12"/>
      <c r="C202" s="170" t="s">
        <v>28</v>
      </c>
      <c r="D202" s="171">
        <v>0.54</v>
      </c>
      <c r="E202" s="172">
        <v>1.7</v>
      </c>
      <c r="F202" s="23">
        <v>4</v>
      </c>
      <c r="G202" s="172"/>
      <c r="H202" s="174"/>
      <c r="I202" s="172"/>
      <c r="J202" s="38"/>
      <c r="K202" s="12"/>
    </row>
    <row r="203" spans="2:11" x14ac:dyDescent="0.25">
      <c r="B203" s="13"/>
      <c r="C203" s="170" t="s">
        <v>29</v>
      </c>
      <c r="D203" s="171">
        <v>1.8</v>
      </c>
      <c r="E203" s="172">
        <v>1.7</v>
      </c>
      <c r="F203" s="23">
        <v>4</v>
      </c>
      <c r="G203" s="172"/>
      <c r="H203" s="174"/>
      <c r="I203" s="172"/>
      <c r="J203" s="38"/>
      <c r="K203" s="12"/>
    </row>
    <row r="204" spans="2:11" x14ac:dyDescent="0.25">
      <c r="B204" s="6"/>
      <c r="C204" s="170" t="s">
        <v>30</v>
      </c>
      <c r="D204" s="171">
        <v>1.8</v>
      </c>
      <c r="E204" s="172">
        <v>1.7</v>
      </c>
      <c r="F204" s="23">
        <v>4</v>
      </c>
      <c r="G204" s="172"/>
      <c r="H204" s="174"/>
      <c r="I204" s="172"/>
      <c r="J204" s="38"/>
      <c r="K204" s="12"/>
    </row>
    <row r="205" spans="2:11" x14ac:dyDescent="0.25">
      <c r="B205" s="181"/>
      <c r="C205" s="170" t="s">
        <v>31</v>
      </c>
      <c r="D205" s="171">
        <v>0.73</v>
      </c>
      <c r="E205" s="172">
        <v>1.7</v>
      </c>
      <c r="F205" s="23">
        <v>4</v>
      </c>
      <c r="G205" s="172"/>
      <c r="H205" s="161"/>
      <c r="I205" s="172"/>
      <c r="J205" s="38"/>
      <c r="K205" s="12"/>
    </row>
    <row r="206" spans="2:11" x14ac:dyDescent="0.25">
      <c r="B206" s="181"/>
      <c r="C206" s="57" t="s">
        <v>11</v>
      </c>
      <c r="D206" s="59">
        <f>'Range Quantities'!C37</f>
        <v>5</v>
      </c>
      <c r="E206" s="59">
        <v>1.7</v>
      </c>
      <c r="F206" s="59">
        <v>4</v>
      </c>
      <c r="G206" s="59"/>
      <c r="H206" s="161"/>
      <c r="I206" s="172"/>
      <c r="J206" s="38"/>
      <c r="K206" s="12"/>
    </row>
  </sheetData>
  <mergeCells count="1">
    <mergeCell ref="C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349C-72A9-453F-A689-A768D3195296}">
  <sheetPr>
    <tabColor theme="8"/>
  </sheetPr>
  <dimension ref="A1:L55"/>
  <sheetViews>
    <sheetView topLeftCell="A34" workbookViewId="0">
      <selection activeCell="E52" sqref="E52"/>
    </sheetView>
  </sheetViews>
  <sheetFormatPr defaultRowHeight="15" x14ac:dyDescent="0.25"/>
  <cols>
    <col min="1" max="1" width="26.42578125" bestFit="1" customWidth="1"/>
    <col min="2" max="2" width="11.85546875" bestFit="1" customWidth="1"/>
    <col min="3" max="3" width="11.140625" bestFit="1" customWidth="1"/>
    <col min="4" max="4" width="6" bestFit="1" customWidth="1"/>
    <col min="5" max="5" width="8.140625" bestFit="1" customWidth="1"/>
    <col min="6" max="6" width="21.85546875" bestFit="1" customWidth="1"/>
    <col min="7" max="8" width="13.7109375" bestFit="1" customWidth="1"/>
    <col min="9" max="9" width="8" bestFit="1" customWidth="1"/>
    <col min="10" max="10" width="18.140625" bestFit="1" customWidth="1"/>
    <col min="11" max="11" width="17.140625" bestFit="1" customWidth="1"/>
  </cols>
  <sheetData>
    <row r="1" spans="1:12" ht="23.25" x14ac:dyDescent="0.35">
      <c r="A1" s="1525" t="s">
        <v>214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7"/>
      <c r="L1" s="1528"/>
    </row>
    <row r="2" spans="1:12" ht="18.75" x14ac:dyDescent="0.3">
      <c r="A2" s="245" t="s">
        <v>99</v>
      </c>
      <c r="B2" s="247" t="s">
        <v>100</v>
      </c>
      <c r="C2" s="246" t="s">
        <v>215</v>
      </c>
      <c r="D2" s="247" t="s">
        <v>5</v>
      </c>
      <c r="E2" s="247" t="s">
        <v>102</v>
      </c>
      <c r="F2" s="247" t="s">
        <v>103</v>
      </c>
      <c r="G2" s="246" t="s">
        <v>104</v>
      </c>
      <c r="H2" s="246" t="s">
        <v>105</v>
      </c>
      <c r="I2" s="248" t="s">
        <v>106</v>
      </c>
      <c r="J2" s="380" t="s">
        <v>107</v>
      </c>
    </row>
    <row r="3" spans="1:12" x14ac:dyDescent="0.25">
      <c r="A3" s="249" t="s">
        <v>216</v>
      </c>
      <c r="B3" s="249">
        <f>COUNTIF('Range Schedule'!C2:C205, "Tebuconazole 3.6F")</f>
        <v>1</v>
      </c>
      <c r="C3" s="246">
        <v>1</v>
      </c>
      <c r="D3" s="99">
        <v>4</v>
      </c>
      <c r="E3" s="99">
        <v>175</v>
      </c>
      <c r="F3" s="99">
        <f>ROUND(C3*E3/128/G3*B3,0)</f>
        <v>1</v>
      </c>
      <c r="G3" s="246">
        <v>1</v>
      </c>
      <c r="H3" s="246" t="s">
        <v>108</v>
      </c>
      <c r="I3" s="248">
        <v>0</v>
      </c>
      <c r="J3" s="381">
        <f>SUM(F3-I3)</f>
        <v>1</v>
      </c>
    </row>
    <row r="4" spans="1:12" x14ac:dyDescent="0.25">
      <c r="A4" s="249" t="s">
        <v>197</v>
      </c>
      <c r="B4" s="249">
        <f>COUNTIF('Range Schedule'!C1:C207, "Flex-Guard")</f>
        <v>3</v>
      </c>
      <c r="C4" s="99">
        <v>0.5</v>
      </c>
      <c r="D4" s="99">
        <v>4</v>
      </c>
      <c r="E4" s="99">
        <v>175</v>
      </c>
      <c r="F4" s="99">
        <f>ROUNDUP(C4*E4/128/G4*B4,0)</f>
        <v>3</v>
      </c>
      <c r="G4" s="99">
        <v>1</v>
      </c>
      <c r="H4" s="99" t="s">
        <v>108</v>
      </c>
      <c r="I4" s="251">
        <v>0</v>
      </c>
      <c r="J4" s="381">
        <f>SUM(F4-I4)</f>
        <v>3</v>
      </c>
    </row>
    <row r="5" spans="1:12" x14ac:dyDescent="0.25">
      <c r="A5" s="249" t="s">
        <v>198</v>
      </c>
      <c r="B5" s="249">
        <f>COUNTIF('Range Schedule'!C1:C208, "Ipro 2")</f>
        <v>3</v>
      </c>
      <c r="C5" s="99">
        <v>4</v>
      </c>
      <c r="D5" s="99">
        <v>4</v>
      </c>
      <c r="E5" s="99">
        <v>175</v>
      </c>
      <c r="F5" s="99">
        <f>ROUND(C5*E5/128/G5*B5,0)</f>
        <v>7</v>
      </c>
      <c r="G5" s="99">
        <v>2.5</v>
      </c>
      <c r="H5" s="99" t="s">
        <v>108</v>
      </c>
      <c r="I5" s="251">
        <v>0</v>
      </c>
      <c r="J5" s="381">
        <f>SUM(F5-I5)</f>
        <v>7</v>
      </c>
    </row>
    <row r="6" spans="1:12" x14ac:dyDescent="0.25">
      <c r="A6" s="249" t="s">
        <v>45</v>
      </c>
      <c r="B6" s="249">
        <f>COUNTIF('Range Schedule'!C1:C209, "Tartan")</f>
        <v>0</v>
      </c>
      <c r="C6" s="99">
        <v>2</v>
      </c>
      <c r="D6" s="99">
        <v>4</v>
      </c>
      <c r="E6" s="99">
        <v>175</v>
      </c>
      <c r="F6" s="99">
        <f>ROUND(C6*E6/128/G6*B6,0)</f>
        <v>0</v>
      </c>
      <c r="G6" s="99">
        <v>2.5</v>
      </c>
      <c r="H6" s="99" t="s">
        <v>108</v>
      </c>
      <c r="I6" s="251">
        <v>5</v>
      </c>
      <c r="J6" s="381">
        <f>MAX(0,F6-I6)</f>
        <v>0</v>
      </c>
    </row>
    <row r="7" spans="1:12" x14ac:dyDescent="0.25">
      <c r="A7" s="249" t="s">
        <v>59</v>
      </c>
      <c r="B7" s="249">
        <f>COUNTIF('Range Schedule'!C1:C210, "Honor")</f>
        <v>1</v>
      </c>
      <c r="C7" s="99">
        <v>1.1000000000000001</v>
      </c>
      <c r="D7" s="99">
        <v>4</v>
      </c>
      <c r="E7" s="99">
        <v>175</v>
      </c>
      <c r="F7" s="99">
        <f>SUM(C7*E7/16/G7*B7)</f>
        <v>0.33420138888888895</v>
      </c>
      <c r="G7" s="99">
        <v>36</v>
      </c>
      <c r="H7" s="99" t="s">
        <v>110</v>
      </c>
      <c r="I7" s="273">
        <v>0</v>
      </c>
      <c r="J7" s="381">
        <f>SUM(F7-I7)</f>
        <v>0.33420138888888895</v>
      </c>
    </row>
    <row r="8" spans="1:12" x14ac:dyDescent="0.25">
      <c r="A8" s="249" t="s">
        <v>199</v>
      </c>
      <c r="B8" s="249">
        <f>COUNTIF('Range Schedule'!C1:C211, "CLT 720")</f>
        <v>6</v>
      </c>
      <c r="C8" s="99">
        <v>3.6</v>
      </c>
      <c r="D8" s="99">
        <v>4</v>
      </c>
      <c r="E8" s="99">
        <v>175</v>
      </c>
      <c r="F8" s="99">
        <f>ROUNDUP(C8*E8/128/G8*B8,0)</f>
        <v>12</v>
      </c>
      <c r="G8" s="99">
        <v>2.5</v>
      </c>
      <c r="H8" s="99" t="s">
        <v>108</v>
      </c>
      <c r="I8" s="251">
        <v>0</v>
      </c>
      <c r="J8" s="381">
        <f>SUM(F8-I8)</f>
        <v>12</v>
      </c>
    </row>
    <row r="9" spans="1:12" x14ac:dyDescent="0.25">
      <c r="A9" s="249" t="s">
        <v>16</v>
      </c>
      <c r="B9" s="249">
        <f>COUNTIF('Range Schedule'!C1:C212, "Densicor")</f>
        <v>2</v>
      </c>
      <c r="C9" s="99">
        <v>1.5</v>
      </c>
      <c r="D9" s="99">
        <v>4</v>
      </c>
      <c r="E9" s="99">
        <v>175</v>
      </c>
      <c r="F9" s="99">
        <f>ROUNDUP(C9*D9/G9*B9,0)</f>
        <v>1</v>
      </c>
      <c r="G9" s="99">
        <v>51</v>
      </c>
      <c r="H9" s="99" t="s">
        <v>112</v>
      </c>
      <c r="I9" s="251">
        <v>0</v>
      </c>
      <c r="J9" s="381">
        <f>SUM(F9-I9)</f>
        <v>1</v>
      </c>
      <c r="K9" t="s">
        <v>113</v>
      </c>
    </row>
    <row r="10" spans="1:12" x14ac:dyDescent="0.25">
      <c r="A10" s="249" t="s">
        <v>206</v>
      </c>
      <c r="B10" s="249">
        <f>COUNTIF('Range Schedule'!C1:C213, "Strobe 50 WG")</f>
        <v>2</v>
      </c>
      <c r="C10" s="99">
        <v>0.27</v>
      </c>
      <c r="D10" s="99">
        <v>4</v>
      </c>
      <c r="E10" s="99">
        <v>175</v>
      </c>
      <c r="F10" s="99">
        <f>ROUNDUP(C10*E10/16/G10*B10,0)</f>
        <v>1</v>
      </c>
      <c r="G10" s="99">
        <v>6</v>
      </c>
      <c r="H10" s="99" t="s">
        <v>110</v>
      </c>
      <c r="I10" s="251">
        <v>0</v>
      </c>
      <c r="J10" s="381">
        <f>MAX(0,F10-I10)</f>
        <v>1</v>
      </c>
    </row>
    <row r="11" spans="1:12" x14ac:dyDescent="0.25">
      <c r="A11" s="249" t="s">
        <v>217</v>
      </c>
      <c r="B11" s="249">
        <f>COUNTIF('Range Schedule'!C1:C214, "TM 4.5")</f>
        <v>1</v>
      </c>
      <c r="C11" s="99">
        <v>2</v>
      </c>
      <c r="D11" s="99">
        <v>4</v>
      </c>
      <c r="E11" s="99">
        <v>175</v>
      </c>
      <c r="F11" s="99">
        <f>ROUNDUP(C11*E11/128/G11*B11,0)</f>
        <v>2</v>
      </c>
      <c r="G11" s="99">
        <v>2.5</v>
      </c>
      <c r="H11" s="99" t="s">
        <v>108</v>
      </c>
      <c r="I11" s="251">
        <v>1</v>
      </c>
      <c r="J11" s="381">
        <f>MAX(0,F11-I11)</f>
        <v>1</v>
      </c>
    </row>
    <row r="12" spans="1:12" x14ac:dyDescent="0.25">
      <c r="A12" s="249" t="s">
        <v>86</v>
      </c>
      <c r="B12" s="249">
        <f>COUNTIF('Range Schedule'!C1:C215, "Affirm WDG")</f>
        <v>0</v>
      </c>
      <c r="C12" s="99">
        <v>0.88</v>
      </c>
      <c r="D12" s="99">
        <v>4</v>
      </c>
      <c r="E12" s="99">
        <v>175</v>
      </c>
      <c r="F12" s="99">
        <f>ROUNDUP(C12*D12/16/G12*B12,0)</f>
        <v>0</v>
      </c>
      <c r="G12" s="99">
        <v>2.4</v>
      </c>
      <c r="H12" s="99" t="s">
        <v>110</v>
      </c>
      <c r="I12" s="251">
        <v>3</v>
      </c>
      <c r="J12" s="381">
        <f>MAX(0,F12-I12)</f>
        <v>0</v>
      </c>
      <c r="K12" t="s">
        <v>115</v>
      </c>
    </row>
    <row r="13" spans="1:12" x14ac:dyDescent="0.25">
      <c r="A13" s="249" t="s">
        <v>116</v>
      </c>
      <c r="B13" s="249">
        <f>COUNTIF('Range Schedule'!C1:C216, "Lexicon")</f>
        <v>0</v>
      </c>
      <c r="C13" s="99">
        <v>0.47</v>
      </c>
      <c r="D13" s="99">
        <v>4</v>
      </c>
      <c r="E13" s="99">
        <v>175</v>
      </c>
      <c r="F13" s="99">
        <f>ROUNDUP(C13*E13/G13*B13,0)</f>
        <v>0</v>
      </c>
      <c r="G13" s="99">
        <v>21</v>
      </c>
      <c r="H13" s="99" t="s">
        <v>112</v>
      </c>
      <c r="I13" s="251">
        <v>0</v>
      </c>
      <c r="J13" s="381">
        <f>SUM(F13-I13)</f>
        <v>0</v>
      </c>
    </row>
    <row r="14" spans="1:12" x14ac:dyDescent="0.25">
      <c r="A14" s="249" t="s">
        <v>211</v>
      </c>
      <c r="B14" s="249">
        <f>COUNTIF('Range Schedule'!C1:C217, "Enclave")</f>
        <v>1</v>
      </c>
      <c r="C14" s="99">
        <v>8</v>
      </c>
      <c r="D14" s="99">
        <v>4</v>
      </c>
      <c r="E14" s="99">
        <v>175</v>
      </c>
      <c r="F14" s="99">
        <f>ROUNDUP(C14*E14/128/G14*B14,0)</f>
        <v>5</v>
      </c>
      <c r="G14" s="99">
        <v>2.5</v>
      </c>
      <c r="H14" s="99" t="s">
        <v>108</v>
      </c>
      <c r="I14" s="251">
        <v>0</v>
      </c>
      <c r="J14" s="381">
        <f>MAX(0,F14-I14)</f>
        <v>5</v>
      </c>
    </row>
    <row r="15" spans="1:12" x14ac:dyDescent="0.25">
      <c r="A15" s="252" t="s">
        <v>118</v>
      </c>
      <c r="B15" s="249">
        <f>COUNTIF('Range Schedule'!C1:C218, "Velista")</f>
        <v>1</v>
      </c>
      <c r="C15" s="99">
        <v>0.7</v>
      </c>
      <c r="D15" s="99">
        <v>4</v>
      </c>
      <c r="E15" s="99">
        <v>175</v>
      </c>
      <c r="F15" s="253">
        <f>ROUND(C15*E15/G15*B15,0)</f>
        <v>6</v>
      </c>
      <c r="G15" s="99">
        <v>22</v>
      </c>
      <c r="H15" s="99" t="s">
        <v>119</v>
      </c>
      <c r="I15" s="251">
        <v>0</v>
      </c>
      <c r="J15" s="381">
        <f>SUM(F15-I15)</f>
        <v>6</v>
      </c>
    </row>
    <row r="16" spans="1:12" x14ac:dyDescent="0.25">
      <c r="A16" s="252" t="s">
        <v>120</v>
      </c>
      <c r="B16" s="249">
        <f>COUNTIF('Range Schedule'!C1:C219, "Posterity")</f>
        <v>1</v>
      </c>
      <c r="C16" s="99">
        <v>0.32</v>
      </c>
      <c r="D16" s="99">
        <v>4</v>
      </c>
      <c r="E16" s="99">
        <v>175</v>
      </c>
      <c r="F16" s="99">
        <f>ROUND(C16*E16/G16*B16,0)</f>
        <v>1</v>
      </c>
      <c r="G16" s="99">
        <v>105</v>
      </c>
      <c r="H16" s="99" t="s">
        <v>119</v>
      </c>
      <c r="I16" s="251">
        <v>3</v>
      </c>
      <c r="J16" s="381">
        <f>MAX(0,F16-I16)</f>
        <v>0</v>
      </c>
    </row>
    <row r="17" spans="1:12" x14ac:dyDescent="0.25">
      <c r="A17" s="254" t="s">
        <v>84</v>
      </c>
      <c r="B17" s="249">
        <f>COUNTIF('Range Schedule'!C1:C220, "Protect DF")</f>
        <v>0</v>
      </c>
      <c r="C17">
        <v>6</v>
      </c>
      <c r="D17" s="99">
        <v>4</v>
      </c>
      <c r="E17" s="99">
        <v>175</v>
      </c>
      <c r="F17">
        <f>ROUNDUP(C17*E17/16*B17/G17,0)</f>
        <v>0</v>
      </c>
      <c r="G17">
        <v>36</v>
      </c>
      <c r="H17" t="s">
        <v>121</v>
      </c>
      <c r="I17" s="256">
        <v>0</v>
      </c>
      <c r="J17" s="381">
        <f>SUM(F17-I17)</f>
        <v>0</v>
      </c>
    </row>
    <row r="18" spans="1:12" x14ac:dyDescent="0.25">
      <c r="A18" s="255" t="s">
        <v>207</v>
      </c>
      <c r="B18" s="249">
        <f>COUNTIF('Range Schedule'!C1:C221, "Mefenoxam 2 AQ")</f>
        <v>1</v>
      </c>
      <c r="C18">
        <v>0.5</v>
      </c>
      <c r="D18" s="99">
        <v>4</v>
      </c>
      <c r="E18" s="99">
        <v>175</v>
      </c>
      <c r="F18">
        <f>ROUNDUP(C18*E18/128*B18/G18,0)</f>
        <v>1</v>
      </c>
      <c r="G18">
        <v>2.5</v>
      </c>
      <c r="H18" t="s">
        <v>108</v>
      </c>
      <c r="I18" s="256">
        <v>0</v>
      </c>
      <c r="J18" s="381">
        <f>SUM(F18-I18)</f>
        <v>1</v>
      </c>
    </row>
    <row r="19" spans="1:12" x14ac:dyDescent="0.25">
      <c r="A19" s="257" t="s">
        <v>90</v>
      </c>
      <c r="B19" s="855">
        <f>COUNTIF('Range Schedule'!C1:C222, "Xzemplar")</f>
        <v>0</v>
      </c>
      <c r="C19" s="258">
        <v>0.26</v>
      </c>
      <c r="D19" s="265">
        <v>4</v>
      </c>
      <c r="E19" s="265">
        <v>175</v>
      </c>
      <c r="F19" s="258">
        <f>ROUNDUP(C19*E19*B19/G19,0)</f>
        <v>0</v>
      </c>
      <c r="G19" s="258">
        <v>114</v>
      </c>
      <c r="H19" s="258" t="s">
        <v>119</v>
      </c>
      <c r="I19" s="259">
        <v>0</v>
      </c>
      <c r="J19" s="382">
        <f>SUM(F19-I19)</f>
        <v>0</v>
      </c>
    </row>
    <row r="21" spans="1:12" ht="18.75" x14ac:dyDescent="0.3">
      <c r="A21" s="245" t="s">
        <v>122</v>
      </c>
      <c r="B21" s="247" t="s">
        <v>100</v>
      </c>
      <c r="C21" s="260" t="s">
        <v>101</v>
      </c>
      <c r="D21" s="261" t="s">
        <v>5</v>
      </c>
      <c r="E21" s="247" t="s">
        <v>102</v>
      </c>
      <c r="F21" s="247" t="s">
        <v>103</v>
      </c>
      <c r="G21" s="247" t="s">
        <v>105</v>
      </c>
      <c r="H21" s="247" t="s">
        <v>104</v>
      </c>
      <c r="I21" s="247" t="s">
        <v>105</v>
      </c>
      <c r="J21" s="262" t="s">
        <v>106</v>
      </c>
      <c r="K21" s="262" t="s">
        <v>123</v>
      </c>
    </row>
    <row r="22" spans="1:12" x14ac:dyDescent="0.25">
      <c r="A22" s="263" t="s">
        <v>124</v>
      </c>
      <c r="B22" s="249">
        <f>COUNTIF('Range Schedule'!C1:C225, "Acelepryn")</f>
        <v>1</v>
      </c>
      <c r="C22" s="99">
        <v>0.37</v>
      </c>
      <c r="D22" s="99">
        <v>4</v>
      </c>
      <c r="E22" s="99">
        <v>175</v>
      </c>
      <c r="F22" s="99">
        <f>ROUNDUP(C22*E22/128/H22*B22,0)</f>
        <v>2</v>
      </c>
      <c r="G22" s="99" t="s">
        <v>108</v>
      </c>
      <c r="H22" s="99">
        <v>0.5</v>
      </c>
      <c r="I22" s="99" t="s">
        <v>108</v>
      </c>
      <c r="J22" s="251">
        <v>2</v>
      </c>
      <c r="K22" s="251">
        <f>MAX(0,F22-J22)</f>
        <v>0</v>
      </c>
    </row>
    <row r="23" spans="1:12" x14ac:dyDescent="0.25">
      <c r="A23" s="263" t="s">
        <v>57</v>
      </c>
      <c r="B23" s="249">
        <f>COUNTIF('Range Schedule'!C1:C226, "Suprado")</f>
        <v>1</v>
      </c>
      <c r="C23" s="99">
        <v>3</v>
      </c>
      <c r="D23" s="99">
        <v>4</v>
      </c>
      <c r="E23" s="99">
        <v>175</v>
      </c>
      <c r="F23" s="99">
        <f>ROUND(C23*E23/128/H23*B23,0)</f>
        <v>2</v>
      </c>
      <c r="G23" s="99" t="s">
        <v>108</v>
      </c>
      <c r="H23" s="99">
        <v>2.5</v>
      </c>
      <c r="I23" s="99" t="s">
        <v>108</v>
      </c>
      <c r="J23" s="251">
        <v>0</v>
      </c>
      <c r="K23" s="251">
        <f>SUM(F23-J23)</f>
        <v>2</v>
      </c>
    </row>
    <row r="24" spans="1:12" x14ac:dyDescent="0.25">
      <c r="A24" s="263" t="s">
        <v>69</v>
      </c>
      <c r="B24" s="249">
        <f>COUNTIF('Range Schedule'!C1:C227, "Matchpoint")</f>
        <v>2</v>
      </c>
      <c r="C24" s="99">
        <v>16</v>
      </c>
      <c r="D24" s="99">
        <v>4</v>
      </c>
      <c r="E24" s="99">
        <v>175</v>
      </c>
      <c r="F24" s="99">
        <f>ROUND(C24*D24/H24*B24,0)</f>
        <v>2</v>
      </c>
      <c r="G24" s="99" t="s">
        <v>112</v>
      </c>
      <c r="H24" s="99">
        <v>64</v>
      </c>
      <c r="I24" s="99" t="s">
        <v>112</v>
      </c>
      <c r="J24" s="251">
        <v>5</v>
      </c>
      <c r="K24" s="251">
        <f>MAX(0,F24-J24)</f>
        <v>0</v>
      </c>
    </row>
    <row r="25" spans="1:12" x14ac:dyDescent="0.25">
      <c r="A25" s="263" t="s">
        <v>77</v>
      </c>
      <c r="B25" s="249">
        <f>COUNTIF('Range Schedule'!C1:C228, "Ference")</f>
        <v>1</v>
      </c>
      <c r="C25" s="99">
        <v>0.28000000000000003</v>
      </c>
      <c r="D25" s="99">
        <v>4</v>
      </c>
      <c r="E25" s="99">
        <v>175</v>
      </c>
      <c r="F25" s="99">
        <f>ROUND(C25*E25/H25*B25,0)</f>
        <v>1</v>
      </c>
      <c r="G25" s="99" t="s">
        <v>112</v>
      </c>
      <c r="H25" s="99">
        <v>96</v>
      </c>
      <c r="I25" s="99" t="s">
        <v>112</v>
      </c>
      <c r="J25" s="251">
        <v>0</v>
      </c>
      <c r="K25" s="251">
        <f>SUM(F25-J25)</f>
        <v>1</v>
      </c>
      <c r="L25" t="s">
        <v>125</v>
      </c>
    </row>
    <row r="26" spans="1:12" x14ac:dyDescent="0.25">
      <c r="A26" s="263" t="s">
        <v>64</v>
      </c>
      <c r="B26" s="249">
        <f>COUNTIF('Range Schedule'!C1:C229, "Tetrino")</f>
        <v>2</v>
      </c>
      <c r="C26" s="99">
        <v>0.73499999999999999</v>
      </c>
      <c r="D26" s="99">
        <v>4</v>
      </c>
      <c r="E26" s="99">
        <v>175</v>
      </c>
      <c r="F26" s="99">
        <f>ROUND(C26*E26/H26*B26,0)</f>
        <v>2</v>
      </c>
      <c r="G26" s="99" t="s">
        <v>108</v>
      </c>
      <c r="H26" s="99">
        <v>128</v>
      </c>
      <c r="I26" s="99" t="s">
        <v>119</v>
      </c>
      <c r="J26" s="251">
        <v>0</v>
      </c>
      <c r="K26" s="251">
        <f>SUM(F26-J26)</f>
        <v>2</v>
      </c>
    </row>
    <row r="27" spans="1:12" x14ac:dyDescent="0.25">
      <c r="A27" s="264" t="s">
        <v>126</v>
      </c>
      <c r="B27" s="855">
        <f>COUNTIF('Range Schedule'!C1:C230, "Dylox")</f>
        <v>0</v>
      </c>
      <c r="C27" s="265">
        <v>5.5</v>
      </c>
      <c r="D27" s="265">
        <v>4</v>
      </c>
      <c r="E27" s="265">
        <v>175</v>
      </c>
      <c r="F27" s="265">
        <f>ROUND(C27*E27/128/H27*B27,0)</f>
        <v>0</v>
      </c>
      <c r="G27" s="265" t="s">
        <v>108</v>
      </c>
      <c r="H27" s="265">
        <v>2.5</v>
      </c>
      <c r="I27" s="265" t="s">
        <v>108</v>
      </c>
      <c r="J27" s="266">
        <v>3</v>
      </c>
      <c r="K27" s="266">
        <f>MAX(0,F27-J27)</f>
        <v>0</v>
      </c>
    </row>
    <row r="28" spans="1:12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2" ht="18.75" x14ac:dyDescent="0.3">
      <c r="A29" s="267" t="s">
        <v>127</v>
      </c>
      <c r="B29" s="247" t="s">
        <v>100</v>
      </c>
      <c r="C29" s="247" t="s">
        <v>101</v>
      </c>
      <c r="D29" s="247" t="s">
        <v>5</v>
      </c>
      <c r="E29" s="247" t="s">
        <v>102</v>
      </c>
      <c r="F29" s="247" t="s">
        <v>103</v>
      </c>
      <c r="G29" s="247" t="s">
        <v>105</v>
      </c>
      <c r="H29" s="247" t="s">
        <v>104</v>
      </c>
      <c r="I29" s="247" t="s">
        <v>105</v>
      </c>
      <c r="J29" s="262" t="s">
        <v>106</v>
      </c>
      <c r="K29" s="262" t="s">
        <v>123</v>
      </c>
    </row>
    <row r="30" spans="1:12" x14ac:dyDescent="0.25">
      <c r="A30" s="263" t="s">
        <v>35</v>
      </c>
      <c r="B30" s="249">
        <f>COUNTIF('Range Schedule'!C11:C233, "Dimension 2EW")</f>
        <v>1</v>
      </c>
      <c r="C30" s="99">
        <v>16</v>
      </c>
      <c r="D30" s="99">
        <v>4</v>
      </c>
      <c r="E30" s="99">
        <v>175</v>
      </c>
      <c r="F30" s="99">
        <f>ROUNDUP(C30*D30/128/H30*B30,0)</f>
        <v>1</v>
      </c>
      <c r="G30" s="99" t="s">
        <v>108</v>
      </c>
      <c r="H30" s="99">
        <v>2.5</v>
      </c>
      <c r="I30" s="99" t="s">
        <v>108</v>
      </c>
      <c r="J30" s="251">
        <v>1</v>
      </c>
      <c r="K30" s="251">
        <f>MAX(0,F30-J30,0)</f>
        <v>0</v>
      </c>
    </row>
    <row r="31" spans="1:12" x14ac:dyDescent="0.25">
      <c r="A31" s="263" t="s">
        <v>128</v>
      </c>
      <c r="B31" s="249">
        <f>COUNTIF('Range Schedule'!C11:C234, "Vision")</f>
        <v>13</v>
      </c>
      <c r="C31" s="99">
        <v>3.5</v>
      </c>
      <c r="D31" s="99">
        <v>4</v>
      </c>
      <c r="E31" s="99">
        <v>175</v>
      </c>
      <c r="F31" s="99">
        <f>ROUND(C31*D31/128/H31*B31,0)</f>
        <v>1</v>
      </c>
      <c r="G31" s="99" t="s">
        <v>108</v>
      </c>
      <c r="H31" s="99">
        <v>2.5</v>
      </c>
      <c r="I31" s="99" t="s">
        <v>108</v>
      </c>
      <c r="J31" s="251">
        <v>0</v>
      </c>
      <c r="K31" s="251">
        <f>ROUND(F31-J31,0)</f>
        <v>1</v>
      </c>
    </row>
    <row r="32" spans="1:12" x14ac:dyDescent="0.25">
      <c r="A32" s="268" t="s">
        <v>129</v>
      </c>
      <c r="B32" s="855">
        <f>COUNTIF('Range Schedule'!C12:C235, "Velocity")</f>
        <v>8</v>
      </c>
      <c r="C32" s="265">
        <v>0.75</v>
      </c>
      <c r="D32" s="265">
        <v>4</v>
      </c>
      <c r="E32" s="265">
        <v>175</v>
      </c>
      <c r="F32" s="265">
        <f>ROUND(C32*D32/H32*B32,0)</f>
        <v>2</v>
      </c>
      <c r="G32" s="265" t="s">
        <v>112</v>
      </c>
      <c r="H32" s="265">
        <v>16</v>
      </c>
      <c r="I32" s="265" t="s">
        <v>112</v>
      </c>
      <c r="J32" s="266">
        <v>0</v>
      </c>
      <c r="K32" s="266">
        <f>ROUND(F32-J32,0)</f>
        <v>2</v>
      </c>
    </row>
    <row r="33" spans="1:12" x14ac:dyDescent="0.2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2" ht="18.75" x14ac:dyDescent="0.3">
      <c r="A34" s="245" t="s">
        <v>130</v>
      </c>
      <c r="B34" s="247" t="s">
        <v>100</v>
      </c>
      <c r="C34" s="247" t="s">
        <v>101</v>
      </c>
      <c r="D34" s="247" t="s">
        <v>5</v>
      </c>
      <c r="E34" s="247" t="s">
        <v>102</v>
      </c>
      <c r="F34" s="247" t="s">
        <v>103</v>
      </c>
      <c r="G34" s="247" t="s">
        <v>105</v>
      </c>
      <c r="H34" s="247" t="s">
        <v>104</v>
      </c>
      <c r="I34" s="247" t="s">
        <v>105</v>
      </c>
      <c r="J34" s="262" t="s">
        <v>106</v>
      </c>
      <c r="K34" s="262" t="s">
        <v>123</v>
      </c>
    </row>
    <row r="35" spans="1:12" x14ac:dyDescent="0.25">
      <c r="A35" s="263" t="s">
        <v>196</v>
      </c>
      <c r="B35" s="249">
        <f>COUNTIF('Range Schedule'!C1:C238, "T-Nex")</f>
        <v>6</v>
      </c>
      <c r="C35" s="99">
        <v>6</v>
      </c>
      <c r="D35" s="99">
        <v>4</v>
      </c>
      <c r="E35" s="99">
        <v>175</v>
      </c>
      <c r="F35" s="99">
        <f>ROUNDUP(C35*D35/128/H35*B35,0)</f>
        <v>1</v>
      </c>
      <c r="G35" s="99" t="s">
        <v>108</v>
      </c>
      <c r="H35" s="99">
        <v>2.5</v>
      </c>
      <c r="I35" s="99" t="s">
        <v>108</v>
      </c>
      <c r="J35" s="251">
        <v>0</v>
      </c>
      <c r="K35" s="251">
        <f>SUM(F35-J35)</f>
        <v>1</v>
      </c>
    </row>
    <row r="36" spans="1:12" x14ac:dyDescent="0.25">
      <c r="A36" s="263" t="s">
        <v>52</v>
      </c>
      <c r="B36" s="249">
        <f>COUNTIF('Range Schedule'!C1:C239, "Trimmit 2SC")</f>
        <v>12</v>
      </c>
      <c r="C36" s="99">
        <v>6</v>
      </c>
      <c r="D36" s="99">
        <v>4</v>
      </c>
      <c r="E36" s="99">
        <v>175</v>
      </c>
      <c r="F36" s="99">
        <f>ROUND(C36*D36/128/H36*B36,0)</f>
        <v>1</v>
      </c>
      <c r="G36" s="99" t="s">
        <v>108</v>
      </c>
      <c r="H36" s="99">
        <v>2.5</v>
      </c>
      <c r="I36" s="99" t="s">
        <v>108</v>
      </c>
      <c r="J36" s="251">
        <v>3</v>
      </c>
      <c r="K36" s="251">
        <f>MAX(0,F36-J36)</f>
        <v>0</v>
      </c>
    </row>
    <row r="37" spans="1:12" x14ac:dyDescent="0.25">
      <c r="A37" s="263" t="s">
        <v>11</v>
      </c>
      <c r="B37" s="249">
        <f>COUNTIF('Range Schedule'!C1:C240, "Proxy")</f>
        <v>3</v>
      </c>
      <c r="C37" s="99">
        <v>5</v>
      </c>
      <c r="D37" s="99">
        <v>4</v>
      </c>
      <c r="E37" s="99">
        <v>175</v>
      </c>
      <c r="F37" s="99">
        <f>ROUND(C37*E37/128/H37*B37,0)</f>
        <v>8</v>
      </c>
      <c r="G37" s="99" t="s">
        <v>108</v>
      </c>
      <c r="H37" s="99">
        <v>2.5</v>
      </c>
      <c r="I37" s="99" t="s">
        <v>108</v>
      </c>
      <c r="J37" s="251">
        <v>0</v>
      </c>
      <c r="K37" s="251">
        <f>MAX(0,F37-J37)</f>
        <v>8</v>
      </c>
    </row>
    <row r="38" spans="1:12" x14ac:dyDescent="0.25">
      <c r="A38" s="268" t="s">
        <v>50</v>
      </c>
      <c r="B38" s="855">
        <f>COUNTIF('Range Schedule'!C17:C240, "Anuew EZ")</f>
        <v>13</v>
      </c>
      <c r="C38" s="265">
        <v>9</v>
      </c>
      <c r="D38" s="265">
        <v>4</v>
      </c>
      <c r="E38" s="265">
        <v>175</v>
      </c>
      <c r="F38" s="265">
        <f>ROUND(C38*D38/128/H38*B38,0)</f>
        <v>1</v>
      </c>
      <c r="G38" s="265" t="s">
        <v>108</v>
      </c>
      <c r="H38" s="265">
        <v>2.5</v>
      </c>
      <c r="I38" s="265" t="s">
        <v>108</v>
      </c>
      <c r="J38" s="266">
        <v>0</v>
      </c>
      <c r="K38" s="266">
        <f>SUM(F38-J38)</f>
        <v>1</v>
      </c>
    </row>
    <row r="39" spans="1:12" x14ac:dyDescent="0.2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</row>
    <row r="40" spans="1:12" ht="18.75" x14ac:dyDescent="0.3">
      <c r="A40" s="270" t="s">
        <v>131</v>
      </c>
      <c r="B40" s="247" t="s">
        <v>100</v>
      </c>
      <c r="C40" s="247" t="s">
        <v>101</v>
      </c>
      <c r="D40" s="247" t="s">
        <v>5</v>
      </c>
      <c r="E40" s="247" t="s">
        <v>102</v>
      </c>
      <c r="F40" s="247" t="s">
        <v>103</v>
      </c>
      <c r="G40" s="247" t="s">
        <v>105</v>
      </c>
      <c r="H40" s="247" t="s">
        <v>104</v>
      </c>
      <c r="I40" s="247" t="s">
        <v>105</v>
      </c>
      <c r="J40" s="262" t="s">
        <v>106</v>
      </c>
      <c r="K40" s="262" t="s">
        <v>123</v>
      </c>
    </row>
    <row r="41" spans="1:12" x14ac:dyDescent="0.25">
      <c r="A41" s="268" t="s">
        <v>63</v>
      </c>
      <c r="B41" s="855">
        <f>COUNTIF('Range Schedule'!C1:C243, "SMS 200")</f>
        <v>5</v>
      </c>
      <c r="C41" s="265">
        <v>0.5</v>
      </c>
      <c r="D41" s="265">
        <v>4</v>
      </c>
      <c r="E41" s="265">
        <v>175</v>
      </c>
      <c r="F41" s="265">
        <f>ROUND(C41*E41/128/H41*B41,1)</f>
        <v>0.1</v>
      </c>
      <c r="G41" s="265" t="s">
        <v>108</v>
      </c>
      <c r="H41" s="265">
        <v>30</v>
      </c>
      <c r="I41" s="265" t="s">
        <v>108</v>
      </c>
      <c r="J41" s="266">
        <v>0</v>
      </c>
      <c r="K41" s="266">
        <f>ROUNDUP(F41-J409,0)</f>
        <v>1</v>
      </c>
    </row>
    <row r="42" spans="1:12" x14ac:dyDescent="0.25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</row>
    <row r="43" spans="1:12" ht="18.75" x14ac:dyDescent="0.3">
      <c r="A43" s="245" t="s">
        <v>218</v>
      </c>
      <c r="B43" s="247" t="s">
        <v>100</v>
      </c>
      <c r="C43" s="247" t="s">
        <v>101</v>
      </c>
      <c r="D43" s="247" t="s">
        <v>5</v>
      </c>
      <c r="E43" s="247" t="s">
        <v>102</v>
      </c>
      <c r="F43" s="247" t="s">
        <v>136</v>
      </c>
      <c r="G43" s="247" t="s">
        <v>105</v>
      </c>
      <c r="H43" s="247" t="s">
        <v>104</v>
      </c>
      <c r="I43" s="247" t="s">
        <v>105</v>
      </c>
      <c r="J43" s="247" t="s">
        <v>137</v>
      </c>
      <c r="K43" s="247" t="s">
        <v>106</v>
      </c>
      <c r="L43" s="262" t="s">
        <v>107</v>
      </c>
    </row>
    <row r="44" spans="1:12" x14ac:dyDescent="0.25">
      <c r="A44" s="263" t="s">
        <v>138</v>
      </c>
      <c r="B44" s="99">
        <f>COUNTIF('Range Schedule'!C17:C240, "Harrell's Calcium")</f>
        <v>15</v>
      </c>
      <c r="C44" s="99">
        <v>1.8</v>
      </c>
      <c r="D44" s="99">
        <v>29</v>
      </c>
      <c r="E44" s="99">
        <v>1264</v>
      </c>
      <c r="F44" s="99">
        <f>ROUNDUP(C44*E44/128*B44,0)</f>
        <v>267</v>
      </c>
      <c r="G44" s="99" t="s">
        <v>108</v>
      </c>
      <c r="H44" s="99">
        <v>2.5</v>
      </c>
      <c r="I44" s="99" t="s">
        <v>108</v>
      </c>
      <c r="J44" s="99">
        <f>ROUNDUP(F44/H44,0)</f>
        <v>107</v>
      </c>
      <c r="K44" s="99">
        <v>0</v>
      </c>
      <c r="L44" s="251">
        <f t="shared" ref="L44:L49" si="0">SUM(J44-K44)</f>
        <v>107</v>
      </c>
    </row>
    <row r="45" spans="1:12" x14ac:dyDescent="0.25">
      <c r="A45" s="263" t="s">
        <v>139</v>
      </c>
      <c r="B45" s="99">
        <f>COUNTIF('Range Schedule'!C18:C241, "Harrell's Stress Relefe")</f>
        <v>14</v>
      </c>
      <c r="C45" s="99">
        <v>1.8</v>
      </c>
      <c r="D45" s="99">
        <v>29</v>
      </c>
      <c r="E45" s="99">
        <v>1264</v>
      </c>
      <c r="F45" s="99">
        <f t="shared" ref="F45:F49" si="1">ROUNDUP(C45*E45/128*B45,0)</f>
        <v>249</v>
      </c>
      <c r="G45" s="99" t="s">
        <v>108</v>
      </c>
      <c r="H45" s="99">
        <v>2.5</v>
      </c>
      <c r="I45" s="99" t="s">
        <v>108</v>
      </c>
      <c r="J45" s="99">
        <f t="shared" ref="J45:J48" si="2">ROUNDUP(F45/H45,0)</f>
        <v>100</v>
      </c>
      <c r="K45" s="99">
        <v>0</v>
      </c>
      <c r="L45" s="251">
        <f t="shared" si="0"/>
        <v>100</v>
      </c>
    </row>
    <row r="46" spans="1:12" x14ac:dyDescent="0.25">
      <c r="A46" s="263" t="s">
        <v>140</v>
      </c>
      <c r="B46" s="99">
        <f>COUNTIF('Range Schedule'!C19:C242, "Harrell's Title Phyte")</f>
        <v>13</v>
      </c>
      <c r="C46" s="99">
        <v>1.8</v>
      </c>
      <c r="D46" s="99">
        <v>29</v>
      </c>
      <c r="E46" s="99">
        <v>1264</v>
      </c>
      <c r="F46" s="99">
        <f t="shared" si="1"/>
        <v>232</v>
      </c>
      <c r="G46" s="99" t="s">
        <v>108</v>
      </c>
      <c r="H46" s="99">
        <v>2.5</v>
      </c>
      <c r="I46" s="99" t="s">
        <v>108</v>
      </c>
      <c r="J46" s="99">
        <f t="shared" si="2"/>
        <v>93</v>
      </c>
      <c r="K46" s="99">
        <v>0</v>
      </c>
      <c r="L46" s="251">
        <f t="shared" si="0"/>
        <v>93</v>
      </c>
    </row>
    <row r="47" spans="1:12" x14ac:dyDescent="0.25">
      <c r="A47" s="263" t="s">
        <v>141</v>
      </c>
      <c r="B47" s="99">
        <f>COUNTIF('Range Schedule'!C20:C243, "Harrell's Iron Mn Mg")</f>
        <v>14</v>
      </c>
      <c r="C47" s="99">
        <v>0.75</v>
      </c>
      <c r="D47" s="99">
        <v>29</v>
      </c>
      <c r="E47" s="99">
        <v>1264</v>
      </c>
      <c r="F47" s="99">
        <f t="shared" si="1"/>
        <v>104</v>
      </c>
      <c r="G47" s="99" t="s">
        <v>108</v>
      </c>
      <c r="H47" s="99">
        <v>2.5</v>
      </c>
      <c r="I47" s="99" t="s">
        <v>108</v>
      </c>
      <c r="J47" s="99">
        <f t="shared" si="2"/>
        <v>42</v>
      </c>
      <c r="K47" s="99">
        <v>0</v>
      </c>
      <c r="L47" s="251">
        <f t="shared" si="0"/>
        <v>42</v>
      </c>
    </row>
    <row r="48" spans="1:12" x14ac:dyDescent="0.25">
      <c r="A48" s="263" t="s">
        <v>142</v>
      </c>
      <c r="B48" s="99">
        <f>COUNTIF('Range Schedule'!C21:C244, "Harrell's Amino Pro V")</f>
        <v>7</v>
      </c>
      <c r="C48" s="99">
        <v>0.5</v>
      </c>
      <c r="D48" s="99">
        <v>29</v>
      </c>
      <c r="E48" s="99">
        <v>1264</v>
      </c>
      <c r="F48" s="99">
        <f t="shared" si="1"/>
        <v>35</v>
      </c>
      <c r="G48" s="99" t="s">
        <v>108</v>
      </c>
      <c r="H48" s="99">
        <v>2.5</v>
      </c>
      <c r="I48" s="99" t="s">
        <v>108</v>
      </c>
      <c r="J48" s="99">
        <f t="shared" si="2"/>
        <v>14</v>
      </c>
      <c r="K48" s="99">
        <v>0</v>
      </c>
      <c r="L48" s="251">
        <f t="shared" si="0"/>
        <v>14</v>
      </c>
    </row>
    <row r="49" spans="1:12" x14ac:dyDescent="0.25">
      <c r="A49" s="268" t="s">
        <v>143</v>
      </c>
      <c r="B49" s="265">
        <f>COUNTIF('Range Schedule'!C22:C245, "Harrell's Seaweed A+E")</f>
        <v>7</v>
      </c>
      <c r="C49" s="265">
        <v>0.5</v>
      </c>
      <c r="D49" s="265">
        <v>29</v>
      </c>
      <c r="E49" s="265">
        <v>1264</v>
      </c>
      <c r="F49" s="265">
        <f t="shared" si="1"/>
        <v>35</v>
      </c>
      <c r="G49" s="265" t="s">
        <v>108</v>
      </c>
      <c r="H49" s="265">
        <v>2.5</v>
      </c>
      <c r="I49" s="265" t="s">
        <v>108</v>
      </c>
      <c r="J49" s="265">
        <f>ROUNDUP(F49/H49,0)</f>
        <v>14</v>
      </c>
      <c r="K49" s="265">
        <v>0</v>
      </c>
      <c r="L49" s="266">
        <f t="shared" si="0"/>
        <v>14</v>
      </c>
    </row>
    <row r="51" spans="1:12" x14ac:dyDescent="0.25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</row>
    <row r="54" spans="1:12" x14ac:dyDescent="0.25">
      <c r="L54" s="99"/>
    </row>
    <row r="55" spans="1:12" ht="18.75" x14ac:dyDescent="0.3">
      <c r="A55" s="271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FDC7-C2E6-4046-89D2-9F59135671D3}">
  <sheetPr>
    <tabColor theme="8"/>
  </sheetPr>
  <dimension ref="A1:AB56"/>
  <sheetViews>
    <sheetView workbookViewId="0">
      <pane ySplit="2" topLeftCell="A24" activePane="bottomLeft" state="frozen"/>
      <selection pane="bottomLeft" activeCell="A5" sqref="A5:XFD5"/>
    </sheetView>
  </sheetViews>
  <sheetFormatPr defaultRowHeight="15" x14ac:dyDescent="0.25"/>
  <cols>
    <col min="1" max="1" width="18.85546875" bestFit="1" customWidth="1"/>
    <col min="2" max="2" width="11.28515625" bestFit="1" customWidth="1"/>
    <col min="3" max="3" width="12.85546875" bestFit="1" customWidth="1"/>
    <col min="4" max="4" width="12" bestFit="1" customWidth="1"/>
    <col min="5" max="6" width="11.28515625" bestFit="1" customWidth="1"/>
    <col min="7" max="7" width="10.5703125" bestFit="1" customWidth="1"/>
    <col min="8" max="8" width="12.5703125" customWidth="1"/>
    <col min="9" max="9" width="19.7109375" bestFit="1" customWidth="1"/>
    <col min="10" max="10" width="14.85546875" bestFit="1" customWidth="1"/>
    <col min="11" max="11" width="12.5703125" bestFit="1" customWidth="1"/>
    <col min="12" max="12" width="14.140625" bestFit="1" customWidth="1"/>
    <col min="13" max="13" width="14.7109375" bestFit="1" customWidth="1"/>
    <col min="14" max="14" width="6.140625" bestFit="1" customWidth="1"/>
    <col min="15" max="15" width="17.7109375" bestFit="1" customWidth="1"/>
    <col min="18" max="18" width="11" bestFit="1" customWidth="1"/>
    <col min="19" max="19" width="15.42578125" bestFit="1" customWidth="1"/>
    <col min="20" max="20" width="13.7109375" customWidth="1"/>
    <col min="21" max="22" width="11.28515625" bestFit="1" customWidth="1"/>
    <col min="23" max="23" width="10.5703125" bestFit="1" customWidth="1"/>
    <col min="24" max="24" width="10.28515625" bestFit="1" customWidth="1"/>
    <col min="25" max="25" width="10.42578125" bestFit="1" customWidth="1"/>
    <col min="28" max="28" width="10.28515625" bestFit="1" customWidth="1"/>
  </cols>
  <sheetData>
    <row r="1" spans="1:25" ht="23.25" x14ac:dyDescent="0.35">
      <c r="A1" s="250"/>
      <c r="B1" s="246"/>
      <c r="C1" s="250"/>
      <c r="D1" s="250"/>
      <c r="E1" s="246"/>
      <c r="F1" s="246"/>
      <c r="G1" s="246"/>
      <c r="H1" s="649" t="s">
        <v>219</v>
      </c>
      <c r="I1" s="246"/>
      <c r="J1" s="644" t="s">
        <v>34</v>
      </c>
      <c r="K1" s="650"/>
      <c r="L1" s="650"/>
      <c r="M1" s="650"/>
      <c r="N1" s="248"/>
      <c r="O1" s="99"/>
      <c r="T1" s="651" t="s">
        <v>146</v>
      </c>
      <c r="U1" s="651"/>
    </row>
    <row r="2" spans="1:25" ht="18.75" x14ac:dyDescent="0.3">
      <c r="A2" s="617" t="s">
        <v>99</v>
      </c>
      <c r="B2" s="652" t="s">
        <v>147</v>
      </c>
      <c r="C2" s="653" t="s">
        <v>100</v>
      </c>
      <c r="D2" s="652" t="s">
        <v>148</v>
      </c>
      <c r="E2" s="652" t="s">
        <v>5</v>
      </c>
      <c r="F2" s="652" t="s">
        <v>102</v>
      </c>
      <c r="G2" s="654" t="s">
        <v>149</v>
      </c>
      <c r="H2" s="654" t="s">
        <v>150</v>
      </c>
      <c r="I2" s="654" t="s">
        <v>151</v>
      </c>
      <c r="J2" s="654" t="s">
        <v>152</v>
      </c>
      <c r="K2" s="652" t="s">
        <v>107</v>
      </c>
      <c r="L2" s="654" t="s">
        <v>153</v>
      </c>
      <c r="M2" s="652" t="s">
        <v>104</v>
      </c>
      <c r="N2" s="652" t="s">
        <v>105</v>
      </c>
      <c r="O2" s="655" t="s">
        <v>154</v>
      </c>
      <c r="Q2" s="379" t="s">
        <v>155</v>
      </c>
      <c r="R2" s="379" t="s">
        <v>156</v>
      </c>
      <c r="S2" s="375" t="s">
        <v>157</v>
      </c>
      <c r="T2" s="375" t="s">
        <v>158</v>
      </c>
      <c r="U2" s="375" t="s">
        <v>159</v>
      </c>
      <c r="V2" s="375" t="s">
        <v>160</v>
      </c>
      <c r="W2" s="375" t="s">
        <v>161</v>
      </c>
      <c r="X2" s="375" t="s">
        <v>162</v>
      </c>
      <c r="Y2" s="387" t="s">
        <v>163</v>
      </c>
    </row>
    <row r="3" spans="1:25" ht="23.25" x14ac:dyDescent="0.35">
      <c r="A3" s="656" t="s">
        <v>220</v>
      </c>
      <c r="B3" s="657" t="s">
        <v>167</v>
      </c>
      <c r="C3" s="657">
        <f>'Range Quantities'!B3</f>
        <v>1</v>
      </c>
      <c r="D3" s="657">
        <f>'Range Quantities'!C3</f>
        <v>1</v>
      </c>
      <c r="E3" s="657">
        <v>4</v>
      </c>
      <c r="F3" s="657">
        <v>175</v>
      </c>
      <c r="G3" s="747">
        <f>H3/E3</f>
        <v>16.40625</v>
      </c>
      <c r="H3" s="747">
        <f>D3*F3/128/M3*J3</f>
        <v>65.625</v>
      </c>
      <c r="I3" s="753">
        <f>H3*C3</f>
        <v>65.625</v>
      </c>
      <c r="J3" s="747">
        <f>'Total Order Sheet'!C60</f>
        <v>48</v>
      </c>
      <c r="K3" s="657">
        <f>'Range Quantities'!J3</f>
        <v>1</v>
      </c>
      <c r="L3" s="658">
        <f>SUM(J3*K3)</f>
        <v>48</v>
      </c>
      <c r="M3" s="657">
        <v>1</v>
      </c>
      <c r="N3" s="660" t="s">
        <v>108</v>
      </c>
      <c r="O3" s="755">
        <f>H3</f>
        <v>65.625</v>
      </c>
      <c r="Q3" s="674"/>
      <c r="R3" s="989"/>
      <c r="S3" s="663"/>
      <c r="T3" s="664"/>
      <c r="U3" s="664"/>
      <c r="V3" s="664"/>
      <c r="W3" s="1124">
        <f>O3</f>
        <v>65.625</v>
      </c>
      <c r="X3" s="664"/>
      <c r="Y3" s="758"/>
    </row>
    <row r="4" spans="1:25" x14ac:dyDescent="0.25">
      <c r="A4" s="666" t="s">
        <v>197</v>
      </c>
      <c r="B4" s="667" t="s">
        <v>167</v>
      </c>
      <c r="C4" s="667">
        <f>'Range Quantities'!B4</f>
        <v>3</v>
      </c>
      <c r="D4" s="667">
        <f>'Range Quantities'!C4</f>
        <v>0.5</v>
      </c>
      <c r="E4" s="657">
        <v>4</v>
      </c>
      <c r="F4" s="657">
        <v>175</v>
      </c>
      <c r="G4" s="748">
        <f>H4/E4</f>
        <v>41.8701171875</v>
      </c>
      <c r="H4" s="748">
        <f>D4*F4/128/M4*J4</f>
        <v>167.48046875</v>
      </c>
      <c r="I4" s="754">
        <f>H4*C4</f>
        <v>502.44140625</v>
      </c>
      <c r="J4" s="748">
        <f>'Total Order Sheet'!C59</f>
        <v>245</v>
      </c>
      <c r="K4" s="667">
        <f>'Range Quantities'!J4</f>
        <v>3</v>
      </c>
      <c r="L4" s="668">
        <f t="shared" ref="L4:L15" si="0">SUM(J4*K4)</f>
        <v>735</v>
      </c>
      <c r="M4" s="667">
        <v>1</v>
      </c>
      <c r="N4" s="670" t="s">
        <v>108</v>
      </c>
      <c r="O4" s="756">
        <f>H4</f>
        <v>167.48046875</v>
      </c>
      <c r="Q4" s="674"/>
      <c r="R4" s="1120">
        <f>O4</f>
        <v>167.48046875</v>
      </c>
      <c r="S4" s="748">
        <f>O4</f>
        <v>167.48046875</v>
      </c>
      <c r="T4" s="564"/>
      <c r="U4" s="754">
        <f>O4</f>
        <v>167.48046875</v>
      </c>
      <c r="V4" s="669"/>
      <c r="W4" s="564"/>
      <c r="X4" s="564"/>
      <c r="Y4" s="759"/>
    </row>
    <row r="5" spans="1:25" ht="23.25" x14ac:dyDescent="0.35">
      <c r="A5" s="666" t="s">
        <v>198</v>
      </c>
      <c r="B5" s="667" t="s">
        <v>167</v>
      </c>
      <c r="C5" s="667">
        <f>'Range Quantities'!B5</f>
        <v>3</v>
      </c>
      <c r="D5" s="667">
        <f>'Range Quantities'!C5</f>
        <v>4</v>
      </c>
      <c r="E5" s="657">
        <v>4</v>
      </c>
      <c r="F5" s="657">
        <v>175</v>
      </c>
      <c r="G5" s="748">
        <f t="shared" ref="G5:G14" si="1">H5/E5</f>
        <v>256.34765625</v>
      </c>
      <c r="H5" s="748">
        <f>D5*F5/128/M5*J5</f>
        <v>1025.390625</v>
      </c>
      <c r="I5" s="754">
        <f t="shared" ref="I5:I10" si="2">H5*C5</f>
        <v>3076.171875</v>
      </c>
      <c r="J5" s="748">
        <f>'Total Order Sheet'!C56</f>
        <v>187.5</v>
      </c>
      <c r="K5" s="667">
        <f>'Range Quantities'!J5</f>
        <v>7</v>
      </c>
      <c r="L5" s="668">
        <f t="shared" si="0"/>
        <v>1312.5</v>
      </c>
      <c r="M5" s="667">
        <v>1</v>
      </c>
      <c r="N5" s="670" t="s">
        <v>108</v>
      </c>
      <c r="O5" s="756">
        <f t="shared" ref="O5:O41" si="3">H5</f>
        <v>1025.390625</v>
      </c>
      <c r="Q5" s="674"/>
      <c r="R5" s="1120">
        <f>O5</f>
        <v>1025.390625</v>
      </c>
      <c r="S5" s="673"/>
      <c r="T5" s="669"/>
      <c r="U5" s="564"/>
      <c r="V5" s="754">
        <f>O5</f>
        <v>1025.390625</v>
      </c>
      <c r="W5" s="564"/>
      <c r="X5" s="754">
        <f>O5</f>
        <v>1025.390625</v>
      </c>
      <c r="Y5" s="759"/>
    </row>
    <row r="6" spans="1:25" x14ac:dyDescent="0.25">
      <c r="A6" s="666" t="s">
        <v>45</v>
      </c>
      <c r="B6" s="667" t="s">
        <v>164</v>
      </c>
      <c r="C6" s="667">
        <f>'Range Quantities'!B6</f>
        <v>0</v>
      </c>
      <c r="D6" s="667">
        <f>'Range Quantities'!C6</f>
        <v>2</v>
      </c>
      <c r="E6" s="657">
        <v>4</v>
      </c>
      <c r="F6" s="657">
        <v>175</v>
      </c>
      <c r="G6" s="748">
        <f t="shared" si="1"/>
        <v>268.337890625</v>
      </c>
      <c r="H6" s="748">
        <f t="shared" ref="H6:H14" si="4">D6*F6/128/M6*J6</f>
        <v>1073.3515625</v>
      </c>
      <c r="I6" s="754">
        <f t="shared" si="2"/>
        <v>0</v>
      </c>
      <c r="J6" s="748">
        <f>'Total Order Sheet'!C31</f>
        <v>981.35</v>
      </c>
      <c r="K6" s="667">
        <f>'Range Quantities'!J6</f>
        <v>0</v>
      </c>
      <c r="L6" s="668">
        <f t="shared" si="0"/>
        <v>0</v>
      </c>
      <c r="M6" s="667">
        <v>2.5</v>
      </c>
      <c r="N6" s="670" t="s">
        <v>108</v>
      </c>
      <c r="O6" s="756">
        <f t="shared" si="3"/>
        <v>1073.3515625</v>
      </c>
      <c r="Q6" s="674"/>
      <c r="R6" s="990"/>
      <c r="S6" s="564"/>
      <c r="T6" s="564"/>
      <c r="U6" s="564"/>
      <c r="V6" s="564"/>
      <c r="W6" s="564"/>
      <c r="X6" s="564"/>
      <c r="Y6" s="759"/>
    </row>
    <row r="7" spans="1:25" x14ac:dyDescent="0.25">
      <c r="A7" s="666" t="s">
        <v>59</v>
      </c>
      <c r="B7" s="667" t="s">
        <v>166</v>
      </c>
      <c r="C7" s="667">
        <f>'Range Quantities'!B7</f>
        <v>1</v>
      </c>
      <c r="D7" s="667">
        <f>'Range Quantities'!C7</f>
        <v>1.1000000000000001</v>
      </c>
      <c r="E7" s="657">
        <v>4</v>
      </c>
      <c r="F7" s="657">
        <v>175</v>
      </c>
      <c r="G7" s="748">
        <f t="shared" si="1"/>
        <v>427.10937500000006</v>
      </c>
      <c r="H7" s="748">
        <f>D7*F7/16/M7*J7</f>
        <v>1708.4375000000002</v>
      </c>
      <c r="I7" s="754">
        <f t="shared" si="2"/>
        <v>1708.4375000000002</v>
      </c>
      <c r="J7" s="748">
        <f>'Total Order Sheet'!C41</f>
        <v>5112</v>
      </c>
      <c r="K7" s="667">
        <f>'Range Quantities'!J7</f>
        <v>0.33420138888888895</v>
      </c>
      <c r="L7" s="668">
        <f>SUM(J7*K7)</f>
        <v>1708.4375000000002</v>
      </c>
      <c r="M7" s="667">
        <v>36</v>
      </c>
      <c r="N7" s="670" t="s">
        <v>110</v>
      </c>
      <c r="O7" s="756">
        <f>H7</f>
        <v>1708.4375000000002</v>
      </c>
      <c r="Q7" s="674"/>
      <c r="R7" s="848"/>
      <c r="S7" s="669"/>
      <c r="T7" s="754">
        <f>O7</f>
        <v>1708.4375000000002</v>
      </c>
      <c r="U7" s="564"/>
      <c r="V7" s="564"/>
      <c r="W7" s="564"/>
      <c r="X7" s="564"/>
      <c r="Y7" s="759"/>
    </row>
    <row r="8" spans="1:25" x14ac:dyDescent="0.25">
      <c r="A8" s="666" t="s">
        <v>199</v>
      </c>
      <c r="B8" s="667" t="s">
        <v>167</v>
      </c>
      <c r="C8" s="667">
        <f>'Range Quantities'!B8</f>
        <v>6</v>
      </c>
      <c r="D8" s="667">
        <f>'Range Quantities'!C8</f>
        <v>3.6</v>
      </c>
      <c r="E8" s="657">
        <v>4</v>
      </c>
      <c r="F8" s="657">
        <v>175</v>
      </c>
      <c r="G8" s="748">
        <f t="shared" si="1"/>
        <v>36.854999999999997</v>
      </c>
      <c r="H8" s="748">
        <f t="shared" si="4"/>
        <v>147.41999999999999</v>
      </c>
      <c r="I8" s="754">
        <f t="shared" si="2"/>
        <v>884.52</v>
      </c>
      <c r="J8" s="748">
        <f>'Total Order Sheet'!C54</f>
        <v>74.88</v>
      </c>
      <c r="K8" s="667">
        <f>'Range Quantities'!J8</f>
        <v>12</v>
      </c>
      <c r="L8" s="668">
        <f t="shared" si="0"/>
        <v>898.56</v>
      </c>
      <c r="M8" s="667">
        <v>2.5</v>
      </c>
      <c r="N8" s="670" t="s">
        <v>108</v>
      </c>
      <c r="O8" s="756">
        <f>H8</f>
        <v>147.41999999999999</v>
      </c>
      <c r="Q8" s="674"/>
      <c r="R8" s="990"/>
      <c r="S8" s="754">
        <f>O8</f>
        <v>147.41999999999999</v>
      </c>
      <c r="T8" s="754">
        <f>O8</f>
        <v>147.41999999999999</v>
      </c>
      <c r="U8" s="754">
        <f>O8</f>
        <v>147.41999999999999</v>
      </c>
      <c r="V8" s="754">
        <f>O8*2</f>
        <v>294.83999999999997</v>
      </c>
      <c r="W8" s="669"/>
      <c r="X8" s="754">
        <f>O8</f>
        <v>147.41999999999999</v>
      </c>
      <c r="Y8" s="759"/>
    </row>
    <row r="9" spans="1:25" x14ac:dyDescent="0.25">
      <c r="A9" s="666" t="s">
        <v>16</v>
      </c>
      <c r="B9" s="667" t="s">
        <v>164</v>
      </c>
      <c r="C9" s="667">
        <f>'Range Quantities'!B9</f>
        <v>2</v>
      </c>
      <c r="D9" s="667">
        <f>'Range Quantities'!C9</f>
        <v>1.5</v>
      </c>
      <c r="E9" s="657">
        <v>4</v>
      </c>
      <c r="F9" s="657">
        <v>175</v>
      </c>
      <c r="G9" s="748">
        <f t="shared" si="1"/>
        <v>19.637058823529411</v>
      </c>
      <c r="H9" s="748">
        <f>D9*E9/M9*J9</f>
        <v>78.548235294117646</v>
      </c>
      <c r="I9" s="754">
        <f t="shared" si="2"/>
        <v>157.09647058823529</v>
      </c>
      <c r="J9" s="748">
        <f>'Total Order Sheet'!C32</f>
        <v>667.66</v>
      </c>
      <c r="K9" s="667">
        <f>'Range Quantities'!J9</f>
        <v>1</v>
      </c>
      <c r="L9" s="668">
        <f t="shared" si="0"/>
        <v>667.66</v>
      </c>
      <c r="M9" s="667">
        <v>51</v>
      </c>
      <c r="N9" s="670" t="s">
        <v>112</v>
      </c>
      <c r="O9" s="756">
        <f t="shared" si="3"/>
        <v>78.548235294117646</v>
      </c>
      <c r="Q9" s="674"/>
      <c r="R9" s="1120">
        <f>O9</f>
        <v>78.548235294117646</v>
      </c>
      <c r="S9" s="754">
        <f>O9</f>
        <v>78.548235294117646</v>
      </c>
      <c r="T9" s="754">
        <f>O9</f>
        <v>78.548235294117646</v>
      </c>
      <c r="U9" s="564"/>
      <c r="V9" s="564"/>
      <c r="W9" s="564"/>
      <c r="X9" s="564"/>
      <c r="Y9" s="759"/>
    </row>
    <row r="10" spans="1:25" x14ac:dyDescent="0.25">
      <c r="A10" s="666" t="s">
        <v>206</v>
      </c>
      <c r="B10" s="667" t="s">
        <v>167</v>
      </c>
      <c r="C10" s="667">
        <f>'Range Quantities'!B10</f>
        <v>2</v>
      </c>
      <c r="D10" s="667">
        <f>'Range Quantities'!C10</f>
        <v>0.27</v>
      </c>
      <c r="E10" s="657">
        <v>4</v>
      </c>
      <c r="F10" s="657">
        <v>175</v>
      </c>
      <c r="G10" s="748">
        <f>H10/E10</f>
        <v>66.076171875</v>
      </c>
      <c r="H10" s="748">
        <f>D10*F10/16/M10*J10</f>
        <v>264.3046875</v>
      </c>
      <c r="I10" s="754">
        <f t="shared" si="2"/>
        <v>528.609375</v>
      </c>
      <c r="J10" s="748">
        <f>'Total Order Sheet'!C57</f>
        <v>537</v>
      </c>
      <c r="K10" s="667">
        <f>'Range Quantities'!J10</f>
        <v>1</v>
      </c>
      <c r="L10" s="668">
        <f t="shared" si="0"/>
        <v>537</v>
      </c>
      <c r="M10" s="667">
        <v>6</v>
      </c>
      <c r="N10" s="670" t="s">
        <v>169</v>
      </c>
      <c r="O10" s="756">
        <f t="shared" si="3"/>
        <v>264.3046875</v>
      </c>
      <c r="Q10" s="674"/>
      <c r="R10" s="848"/>
      <c r="S10" s="564"/>
      <c r="T10" s="669"/>
      <c r="U10" s="754">
        <f>O10</f>
        <v>264.3046875</v>
      </c>
      <c r="V10" s="754">
        <f>O10</f>
        <v>264.3046875</v>
      </c>
      <c r="W10" s="564"/>
      <c r="X10" s="564"/>
      <c r="Y10" s="759"/>
    </row>
    <row r="11" spans="1:25" x14ac:dyDescent="0.25">
      <c r="A11" s="666" t="s">
        <v>114</v>
      </c>
      <c r="B11" s="667" t="s">
        <v>167</v>
      </c>
      <c r="C11" s="667">
        <f>'Range Quantities'!B11</f>
        <v>1</v>
      </c>
      <c r="D11" s="667">
        <f>'Range Quantities'!C11</f>
        <v>2</v>
      </c>
      <c r="E11" s="657">
        <v>4</v>
      </c>
      <c r="F11" s="657">
        <v>175</v>
      </c>
      <c r="G11" s="748">
        <f t="shared" si="1"/>
        <v>36.9140625</v>
      </c>
      <c r="H11" s="748">
        <f t="shared" si="4"/>
        <v>147.65625</v>
      </c>
      <c r="I11" s="754">
        <f t="shared" ref="I11:I20" si="5">H11*C11</f>
        <v>147.65625</v>
      </c>
      <c r="J11" s="748">
        <f>'Total Order Sheet'!C52</f>
        <v>135</v>
      </c>
      <c r="K11" s="667">
        <f>'Range Quantities'!J11</f>
        <v>1</v>
      </c>
      <c r="L11" s="668">
        <f t="shared" si="0"/>
        <v>135</v>
      </c>
      <c r="M11" s="667">
        <v>2.5</v>
      </c>
      <c r="N11" s="670" t="s">
        <v>108</v>
      </c>
      <c r="O11" s="756">
        <f t="shared" si="3"/>
        <v>147.65625</v>
      </c>
      <c r="Q11" s="674"/>
      <c r="R11" s="848"/>
      <c r="S11" s="564"/>
      <c r="T11" s="564"/>
      <c r="U11" s="754">
        <f>O11</f>
        <v>147.65625</v>
      </c>
      <c r="V11" s="564"/>
      <c r="W11" s="564"/>
      <c r="X11" s="564"/>
      <c r="Y11" s="759"/>
    </row>
    <row r="12" spans="1:25" x14ac:dyDescent="0.25">
      <c r="A12" s="666" t="s">
        <v>86</v>
      </c>
      <c r="B12" s="667" t="s">
        <v>168</v>
      </c>
      <c r="C12" s="667">
        <f>'Range Quantities'!B12</f>
        <v>0</v>
      </c>
      <c r="D12" s="667">
        <f>'Range Quantities'!C12</f>
        <v>0.88</v>
      </c>
      <c r="E12" s="657">
        <v>4</v>
      </c>
      <c r="F12" s="657">
        <v>175</v>
      </c>
      <c r="G12" s="748">
        <f t="shared" si="1"/>
        <v>6.2755000000000001</v>
      </c>
      <c r="H12" s="748">
        <f>D12*E12/16/M12*J12</f>
        <v>25.102</v>
      </c>
      <c r="I12" s="754">
        <f t="shared" si="5"/>
        <v>0</v>
      </c>
      <c r="J12" s="748">
        <f>'Total Order Sheet'!C70</f>
        <v>273.83999999999997</v>
      </c>
      <c r="K12" s="667">
        <f>'Range Quantities'!J12</f>
        <v>0</v>
      </c>
      <c r="L12" s="668">
        <f t="shared" si="0"/>
        <v>0</v>
      </c>
      <c r="M12" s="667">
        <v>2.4</v>
      </c>
      <c r="N12" s="670" t="s">
        <v>110</v>
      </c>
      <c r="O12" s="756">
        <f>H12</f>
        <v>25.102</v>
      </c>
      <c r="Q12" s="674"/>
      <c r="R12" s="848"/>
      <c r="S12" s="564"/>
      <c r="T12" s="564"/>
      <c r="U12" s="564"/>
      <c r="V12" s="564"/>
      <c r="W12" s="669"/>
      <c r="X12" s="564"/>
      <c r="Y12" s="759"/>
    </row>
    <row r="13" spans="1:25" x14ac:dyDescent="0.25">
      <c r="A13" s="666" t="s">
        <v>116</v>
      </c>
      <c r="B13" s="667" t="s">
        <v>166</v>
      </c>
      <c r="C13" s="667">
        <f>'Range Quantities'!B13</f>
        <v>0</v>
      </c>
      <c r="D13" s="667">
        <f>'Range Quantities'!C13</f>
        <v>0.47</v>
      </c>
      <c r="E13" s="657">
        <v>4</v>
      </c>
      <c r="F13" s="657">
        <v>175</v>
      </c>
      <c r="G13" s="748">
        <f t="shared" si="1"/>
        <v>616.875</v>
      </c>
      <c r="H13" s="748">
        <f>D13*F13/M13*J13</f>
        <v>2467.5</v>
      </c>
      <c r="I13" s="754">
        <f t="shared" si="5"/>
        <v>0</v>
      </c>
      <c r="J13" s="748">
        <f>'Total Order Sheet'!C42</f>
        <v>630</v>
      </c>
      <c r="K13" s="667">
        <f>'Range Quantities'!J13</f>
        <v>0</v>
      </c>
      <c r="L13" s="668">
        <f t="shared" si="0"/>
        <v>0</v>
      </c>
      <c r="M13" s="667">
        <v>21</v>
      </c>
      <c r="N13" s="670" t="s">
        <v>112</v>
      </c>
      <c r="O13" s="756">
        <f t="shared" si="3"/>
        <v>2467.5</v>
      </c>
      <c r="Q13" s="674"/>
      <c r="R13" s="848"/>
      <c r="S13" s="564"/>
      <c r="T13" s="564"/>
      <c r="U13" s="669"/>
      <c r="V13" s="669"/>
      <c r="W13" s="564"/>
      <c r="X13" s="564"/>
      <c r="Y13" s="759"/>
    </row>
    <row r="14" spans="1:25" x14ac:dyDescent="0.25">
      <c r="A14" s="666" t="s">
        <v>211</v>
      </c>
      <c r="B14" s="667" t="s">
        <v>167</v>
      </c>
      <c r="C14" s="667">
        <f>'Range Quantities'!B14</f>
        <v>1</v>
      </c>
      <c r="D14" s="667">
        <f>'Range Quantities'!C14</f>
        <v>8</v>
      </c>
      <c r="E14" s="657">
        <v>4</v>
      </c>
      <c r="F14" s="657">
        <v>175</v>
      </c>
      <c r="G14" s="748">
        <f t="shared" si="1"/>
        <v>355.46875</v>
      </c>
      <c r="H14" s="748">
        <f t="shared" si="4"/>
        <v>1421.875</v>
      </c>
      <c r="I14" s="754">
        <f t="shared" si="5"/>
        <v>1421.875</v>
      </c>
      <c r="J14" s="748">
        <f>'Total Order Sheet'!C61</f>
        <v>325</v>
      </c>
      <c r="K14" s="667">
        <f>'Range Quantities'!J14</f>
        <v>5</v>
      </c>
      <c r="L14" s="668">
        <f t="shared" si="0"/>
        <v>1625</v>
      </c>
      <c r="M14" s="667">
        <v>2.5</v>
      </c>
      <c r="N14" s="670" t="s">
        <v>108</v>
      </c>
      <c r="O14" s="756">
        <f t="shared" si="3"/>
        <v>1421.875</v>
      </c>
      <c r="Q14" s="674"/>
      <c r="R14" s="848"/>
      <c r="S14" s="564"/>
      <c r="T14" s="564"/>
      <c r="U14" s="564"/>
      <c r="V14" s="564"/>
      <c r="W14" s="564"/>
      <c r="X14" s="578"/>
      <c r="Y14" s="1132">
        <f>O14</f>
        <v>1421.875</v>
      </c>
    </row>
    <row r="15" spans="1:25" x14ac:dyDescent="0.25">
      <c r="A15" s="666" t="s">
        <v>118</v>
      </c>
      <c r="B15" s="667" t="s">
        <v>165</v>
      </c>
      <c r="C15" s="675">
        <f>'Range Quantities'!B15</f>
        <v>1</v>
      </c>
      <c r="D15" s="675">
        <f>'Range Quantities'!C15</f>
        <v>0.7</v>
      </c>
      <c r="E15" s="657">
        <v>4</v>
      </c>
      <c r="F15" s="657">
        <v>175</v>
      </c>
      <c r="G15" s="678">
        <f>H15/E15</f>
        <v>413.43749999999994</v>
      </c>
      <c r="H15" s="678">
        <f>D15*F15/M15*J15</f>
        <v>1653.7499999999998</v>
      </c>
      <c r="I15" s="754">
        <f t="shared" si="5"/>
        <v>1653.7499999999998</v>
      </c>
      <c r="J15" s="678">
        <f>'Total Order Sheet'!C15</f>
        <v>297</v>
      </c>
      <c r="K15" s="675">
        <f>'Range Quantities'!J15</f>
        <v>6</v>
      </c>
      <c r="L15" s="676">
        <f t="shared" si="0"/>
        <v>1782</v>
      </c>
      <c r="M15" s="675">
        <v>22</v>
      </c>
      <c r="N15" s="677" t="s">
        <v>112</v>
      </c>
      <c r="O15" s="756">
        <f t="shared" si="3"/>
        <v>1653.7499999999998</v>
      </c>
      <c r="Q15" s="674"/>
      <c r="R15" s="848"/>
      <c r="S15" s="669"/>
      <c r="T15" s="754">
        <f>O15</f>
        <v>1653.7499999999998</v>
      </c>
      <c r="U15" s="669"/>
      <c r="V15" s="669"/>
      <c r="W15" s="564"/>
      <c r="X15" s="564"/>
      <c r="Y15" s="759"/>
    </row>
    <row r="16" spans="1:25" x14ac:dyDescent="0.25">
      <c r="A16" s="666" t="s">
        <v>84</v>
      </c>
      <c r="B16" s="667" t="s">
        <v>168</v>
      </c>
      <c r="C16" s="675">
        <f>'Range Quantities'!B17</f>
        <v>0</v>
      </c>
      <c r="D16" s="675">
        <f>'Range Quantities'!C17</f>
        <v>6</v>
      </c>
      <c r="E16" s="657">
        <v>4</v>
      </c>
      <c r="F16" s="657">
        <v>175</v>
      </c>
      <c r="G16" s="678">
        <f>H16/E16</f>
        <v>134.44010416666669</v>
      </c>
      <c r="H16" s="678">
        <f>D16*F16/16/M16*J16</f>
        <v>537.76041666666674</v>
      </c>
      <c r="I16" s="678">
        <f t="shared" si="5"/>
        <v>0</v>
      </c>
      <c r="J16" s="678">
        <f>'Total Order Sheet'!C69</f>
        <v>295</v>
      </c>
      <c r="K16" s="675">
        <f>'Range Quantities'!J17</f>
        <v>0</v>
      </c>
      <c r="L16" s="679">
        <f>SUM(J16*K16)</f>
        <v>0</v>
      </c>
      <c r="M16" s="675">
        <v>36</v>
      </c>
      <c r="N16" s="675" t="s">
        <v>169</v>
      </c>
      <c r="O16" s="756">
        <f>H16</f>
        <v>537.76041666666674</v>
      </c>
      <c r="Q16" s="674"/>
      <c r="R16" s="848"/>
      <c r="S16" s="669"/>
      <c r="T16" s="564"/>
      <c r="U16" s="669"/>
      <c r="V16" s="681"/>
      <c r="W16" s="564"/>
      <c r="X16" s="564"/>
      <c r="Y16" s="759"/>
    </row>
    <row r="17" spans="1:28" x14ac:dyDescent="0.25">
      <c r="A17" s="666" t="s">
        <v>207</v>
      </c>
      <c r="B17" s="667" t="s">
        <v>167</v>
      </c>
      <c r="C17" s="675">
        <f>'Range Quantities'!B18</f>
        <v>1</v>
      </c>
      <c r="D17" s="675">
        <f>'Range Quantities'!C18</f>
        <v>0.5</v>
      </c>
      <c r="E17" s="657">
        <v>4</v>
      </c>
      <c r="F17" s="657">
        <v>175</v>
      </c>
      <c r="G17" s="678">
        <f>H17/E17</f>
        <v>28.02734375</v>
      </c>
      <c r="H17" s="678">
        <f>D17*F17/128/M17*J17</f>
        <v>112.109375</v>
      </c>
      <c r="I17" s="678">
        <f t="shared" si="5"/>
        <v>112.109375</v>
      </c>
      <c r="J17" s="678">
        <f>'Total Order Sheet'!C58</f>
        <v>410</v>
      </c>
      <c r="K17" s="675">
        <f>'Range Quantities'!J18</f>
        <v>1</v>
      </c>
      <c r="L17" s="679">
        <f t="shared" ref="L17:L19" si="6">SUM(J17*K17)</f>
        <v>410</v>
      </c>
      <c r="M17" s="675">
        <v>2.5</v>
      </c>
      <c r="N17" s="677" t="s">
        <v>108</v>
      </c>
      <c r="O17" s="756">
        <f t="shared" ref="O17:O19" si="7">H17</f>
        <v>112.109375</v>
      </c>
      <c r="Q17" s="674"/>
      <c r="R17" s="848"/>
      <c r="S17" s="669"/>
      <c r="T17" s="564"/>
      <c r="U17" s="754">
        <f>O17</f>
        <v>112.109375</v>
      </c>
      <c r="V17" s="681"/>
      <c r="W17" s="564"/>
      <c r="X17" s="564"/>
      <c r="Y17" s="759"/>
    </row>
    <row r="18" spans="1:28" x14ac:dyDescent="0.25">
      <c r="A18" s="666" t="s">
        <v>170</v>
      </c>
      <c r="B18" s="667" t="s">
        <v>165</v>
      </c>
      <c r="C18" s="675">
        <f>'Range Quantities'!B16</f>
        <v>1</v>
      </c>
      <c r="D18" s="675">
        <f>'Range Quantities'!C16</f>
        <v>0.32</v>
      </c>
      <c r="E18" s="657">
        <v>4</v>
      </c>
      <c r="F18" s="657">
        <v>175</v>
      </c>
      <c r="G18" s="678">
        <f t="shared" ref="G18:G19" si="8">H18/E18</f>
        <v>231.73333333333332</v>
      </c>
      <c r="H18" s="678">
        <f>D18*F18/M18*J18</f>
        <v>926.93333333333328</v>
      </c>
      <c r="I18" s="678">
        <f t="shared" si="5"/>
        <v>926.93333333333328</v>
      </c>
      <c r="J18" s="678">
        <f>'Total Order Sheet'!C16</f>
        <v>1738</v>
      </c>
      <c r="K18" s="675">
        <f>'Range Quantities'!J16</f>
        <v>0</v>
      </c>
      <c r="L18" s="679">
        <f t="shared" si="6"/>
        <v>0</v>
      </c>
      <c r="M18" s="675">
        <v>105</v>
      </c>
      <c r="N18" s="677" t="s">
        <v>112</v>
      </c>
      <c r="O18" s="756">
        <f t="shared" si="7"/>
        <v>926.93333333333328</v>
      </c>
      <c r="Q18" s="674"/>
      <c r="R18" s="848"/>
      <c r="S18" s="669"/>
      <c r="T18" s="564"/>
      <c r="U18" s="669"/>
      <c r="V18" s="681"/>
      <c r="W18" s="564"/>
      <c r="X18" s="754">
        <f>O18</f>
        <v>926.93333333333328</v>
      </c>
      <c r="Y18" s="759"/>
    </row>
    <row r="19" spans="1:28" x14ac:dyDescent="0.25">
      <c r="A19" s="666" t="s">
        <v>90</v>
      </c>
      <c r="B19" s="667" t="s">
        <v>166</v>
      </c>
      <c r="C19" s="675">
        <f>'Range Quantities'!B19</f>
        <v>0</v>
      </c>
      <c r="D19" s="675">
        <f>'Range Quantities'!C19</f>
        <v>0.26</v>
      </c>
      <c r="E19" s="657">
        <v>4</v>
      </c>
      <c r="F19" s="657">
        <v>175</v>
      </c>
      <c r="G19" s="678">
        <f t="shared" si="8"/>
        <v>179.72500000000002</v>
      </c>
      <c r="H19" s="678">
        <f>D19*F19/M19*J19</f>
        <v>718.90000000000009</v>
      </c>
      <c r="I19" s="678">
        <f t="shared" si="5"/>
        <v>0</v>
      </c>
      <c r="J19" s="678">
        <f>'Total Order Sheet'!C45</f>
        <v>1801.2</v>
      </c>
      <c r="K19" s="675">
        <f>'Range Quantities'!J19</f>
        <v>0</v>
      </c>
      <c r="L19" s="679">
        <f t="shared" si="6"/>
        <v>0</v>
      </c>
      <c r="M19" s="675">
        <v>114</v>
      </c>
      <c r="N19" s="677" t="s">
        <v>112</v>
      </c>
      <c r="O19" s="756">
        <f t="shared" si="7"/>
        <v>718.90000000000009</v>
      </c>
      <c r="Q19" s="674"/>
      <c r="R19" s="848"/>
      <c r="S19" s="669"/>
      <c r="T19" s="564"/>
      <c r="U19" s="669"/>
      <c r="V19" s="681"/>
      <c r="W19" s="754">
        <f>O19</f>
        <v>718.90000000000009</v>
      </c>
      <c r="X19" s="681"/>
      <c r="Y19" s="759"/>
    </row>
    <row r="20" spans="1:28" x14ac:dyDescent="0.25">
      <c r="A20" s="682" t="s">
        <v>37</v>
      </c>
      <c r="B20" s="683" t="s">
        <v>167</v>
      </c>
      <c r="C20" s="683">
        <f>'Range Quantities'!B22</f>
        <v>1</v>
      </c>
      <c r="D20" s="683">
        <f>'Range Quantities'!C22</f>
        <v>0.37</v>
      </c>
      <c r="E20" s="724">
        <v>4</v>
      </c>
      <c r="F20" s="724">
        <v>175</v>
      </c>
      <c r="G20" s="749">
        <f>H20/E20</f>
        <v>148.216796875</v>
      </c>
      <c r="H20" s="749">
        <f>D20*F20/M20*J20</f>
        <v>592.8671875</v>
      </c>
      <c r="I20" s="749">
        <f t="shared" si="5"/>
        <v>592.8671875</v>
      </c>
      <c r="J20" s="749">
        <f>'Total Order Sheet'!C13</f>
        <v>879</v>
      </c>
      <c r="K20" s="683">
        <f>'Range Quantities'!K22</f>
        <v>0</v>
      </c>
      <c r="L20" s="749">
        <f>SUM(J20*K20)</f>
        <v>0</v>
      </c>
      <c r="M20" s="683">
        <v>96</v>
      </c>
      <c r="N20" s="685" t="s">
        <v>112</v>
      </c>
      <c r="O20" s="756">
        <f>H20</f>
        <v>592.8671875</v>
      </c>
      <c r="Q20" s="687"/>
      <c r="R20" s="991"/>
      <c r="S20" s="688">
        <f>O20</f>
        <v>592.8671875</v>
      </c>
      <c r="T20" s="571"/>
      <c r="U20" s="571"/>
      <c r="V20" s="571"/>
      <c r="W20" s="571"/>
      <c r="X20" s="571"/>
      <c r="Y20" s="760"/>
    </row>
    <row r="21" spans="1:28" x14ac:dyDescent="0.25">
      <c r="A21" s="682" t="s">
        <v>57</v>
      </c>
      <c r="B21" s="683" t="s">
        <v>167</v>
      </c>
      <c r="C21" s="683">
        <f>'Range Quantities'!B23</f>
        <v>1</v>
      </c>
      <c r="D21" s="683">
        <f>'Range Quantities'!C23</f>
        <v>3</v>
      </c>
      <c r="E21" s="724">
        <v>4</v>
      </c>
      <c r="F21" s="724">
        <v>175</v>
      </c>
      <c r="G21" s="749">
        <f t="shared" ref="G21:G24" si="9">H21/E21</f>
        <v>285.05859375</v>
      </c>
      <c r="H21" s="749">
        <f>D21*F21/128/M21*J21</f>
        <v>1140.234375</v>
      </c>
      <c r="I21" s="749">
        <f t="shared" ref="I21:I25" si="10">H21*C21</f>
        <v>1140.234375</v>
      </c>
      <c r="J21" s="749">
        <f>'Total Order Sheet'!C53</f>
        <v>695</v>
      </c>
      <c r="K21" s="683">
        <f>'Range Quantities'!K23</f>
        <v>2</v>
      </c>
      <c r="L21" s="749">
        <f t="shared" ref="L21:L25" si="11">SUM(J21*K21)</f>
        <v>1390</v>
      </c>
      <c r="M21" s="683">
        <v>2.5</v>
      </c>
      <c r="N21" s="685" t="s">
        <v>108</v>
      </c>
      <c r="O21" s="756">
        <f t="shared" si="3"/>
        <v>1140.234375</v>
      </c>
      <c r="Q21" s="687"/>
      <c r="R21" s="991"/>
      <c r="S21" s="1121">
        <f>O21</f>
        <v>1140.234375</v>
      </c>
      <c r="T21" s="571"/>
      <c r="U21" s="571"/>
      <c r="V21" s="571"/>
      <c r="W21" s="571"/>
      <c r="X21" s="571"/>
      <c r="Y21" s="760"/>
    </row>
    <row r="22" spans="1:28" x14ac:dyDescent="0.25">
      <c r="A22" s="682" t="s">
        <v>69</v>
      </c>
      <c r="B22" s="683" t="s">
        <v>171</v>
      </c>
      <c r="C22" s="683">
        <f>'Range Quantities'!B24</f>
        <v>2</v>
      </c>
      <c r="D22" s="683">
        <f>'Range Quantities'!C24</f>
        <v>16</v>
      </c>
      <c r="E22" s="724">
        <v>4</v>
      </c>
      <c r="F22" s="724">
        <v>175</v>
      </c>
      <c r="G22" s="749">
        <f t="shared" si="9"/>
        <v>219.75</v>
      </c>
      <c r="H22" s="749">
        <f>D22*E22/M22*J22</f>
        <v>879</v>
      </c>
      <c r="I22" s="749">
        <f t="shared" si="10"/>
        <v>1758</v>
      </c>
      <c r="J22" s="749">
        <f>'Total Order Sheet'!C90</f>
        <v>879</v>
      </c>
      <c r="K22" s="683">
        <f>'Range Quantities'!K24</f>
        <v>0</v>
      </c>
      <c r="L22" s="749">
        <f t="shared" si="11"/>
        <v>0</v>
      </c>
      <c r="M22" s="683">
        <v>64</v>
      </c>
      <c r="N22" s="685" t="s">
        <v>112</v>
      </c>
      <c r="O22" s="756">
        <f t="shared" si="3"/>
        <v>879</v>
      </c>
      <c r="Q22" s="687"/>
      <c r="R22" s="786"/>
      <c r="S22" s="571"/>
      <c r="T22" s="688"/>
      <c r="U22" s="1121">
        <f>O22</f>
        <v>879</v>
      </c>
      <c r="V22" s="1121">
        <f>O22</f>
        <v>879</v>
      </c>
      <c r="W22" s="571"/>
      <c r="X22" s="571"/>
      <c r="Y22" s="760"/>
      <c r="AB22" s="714">
        <f>SUM(S20+S21+U22+V22+U23+T24+V24)</f>
        <v>5220.393229166667</v>
      </c>
    </row>
    <row r="23" spans="1:28" ht="16.5" customHeight="1" x14ac:dyDescent="0.25">
      <c r="A23" s="682" t="s">
        <v>77</v>
      </c>
      <c r="B23" s="683" t="s">
        <v>165</v>
      </c>
      <c r="C23" s="683">
        <f>'Range Quantities'!B25</f>
        <v>1</v>
      </c>
      <c r="D23" s="683">
        <f>'Range Quantities'!C25</f>
        <v>0.28000000000000003</v>
      </c>
      <c r="E23" s="724">
        <v>4</v>
      </c>
      <c r="F23" s="724">
        <v>175</v>
      </c>
      <c r="G23" s="749">
        <f t="shared" si="9"/>
        <v>167.03385416666669</v>
      </c>
      <c r="H23" s="749">
        <f>D23*F23/M23*J23</f>
        <v>668.13541666666674</v>
      </c>
      <c r="I23" s="749">
        <f t="shared" si="10"/>
        <v>668.13541666666674</v>
      </c>
      <c r="J23" s="749">
        <f>'Total Order Sheet'!C5</f>
        <v>1309</v>
      </c>
      <c r="K23" s="683">
        <f>'Range Quantities'!K25</f>
        <v>1</v>
      </c>
      <c r="L23" s="749">
        <f t="shared" si="11"/>
        <v>1309</v>
      </c>
      <c r="M23" s="683">
        <v>96</v>
      </c>
      <c r="N23" s="685" t="s">
        <v>112</v>
      </c>
      <c r="O23" s="756">
        <f t="shared" si="3"/>
        <v>668.13541666666674</v>
      </c>
      <c r="Q23" s="687"/>
      <c r="R23" s="786"/>
      <c r="S23" s="571"/>
      <c r="T23" s="571"/>
      <c r="U23" s="1121">
        <f>O23</f>
        <v>668.13541666666674</v>
      </c>
      <c r="V23" s="571"/>
      <c r="W23" s="571"/>
      <c r="X23" s="571"/>
      <c r="Y23" s="760"/>
    </row>
    <row r="24" spans="1:28" x14ac:dyDescent="0.25">
      <c r="A24" s="682" t="s">
        <v>64</v>
      </c>
      <c r="B24" s="683" t="s">
        <v>164</v>
      </c>
      <c r="C24" s="683">
        <f>'Range Quantities'!B26</f>
        <v>2</v>
      </c>
      <c r="D24" s="683">
        <f>'Range Quantities'!C26</f>
        <v>0.73499999999999999</v>
      </c>
      <c r="E24" s="724">
        <v>4</v>
      </c>
      <c r="F24" s="724">
        <v>175</v>
      </c>
      <c r="G24" s="749">
        <f t="shared" si="9"/>
        <v>132.64453125</v>
      </c>
      <c r="H24" s="749">
        <f>D24*F24/128/M24*J24</f>
        <v>530.578125</v>
      </c>
      <c r="I24" s="749">
        <f t="shared" si="10"/>
        <v>1061.15625</v>
      </c>
      <c r="J24" s="749">
        <f>'Total Order Sheet'!C33</f>
        <v>528</v>
      </c>
      <c r="K24" s="683">
        <f>'Range Quantities'!J26</f>
        <v>0</v>
      </c>
      <c r="L24" s="749">
        <f t="shared" si="11"/>
        <v>0</v>
      </c>
      <c r="M24" s="683">
        <v>1</v>
      </c>
      <c r="N24" s="685" t="s">
        <v>108</v>
      </c>
      <c r="O24" s="756">
        <f t="shared" si="3"/>
        <v>530.578125</v>
      </c>
      <c r="Q24" s="687"/>
      <c r="R24" s="786"/>
      <c r="S24" s="688"/>
      <c r="T24" s="1121">
        <f>O24</f>
        <v>530.578125</v>
      </c>
      <c r="U24" s="571"/>
      <c r="V24" s="1121">
        <f>O24</f>
        <v>530.578125</v>
      </c>
      <c r="W24" s="571"/>
      <c r="X24" s="571"/>
      <c r="Y24" s="760"/>
    </row>
    <row r="25" spans="1:28" x14ac:dyDescent="0.25">
      <c r="A25" s="682" t="s">
        <v>126</v>
      </c>
      <c r="B25" s="683" t="s">
        <v>164</v>
      </c>
      <c r="C25" s="683">
        <f>'Range Quantities'!B27</f>
        <v>0</v>
      </c>
      <c r="D25" s="683">
        <f>'Range Quantities'!C27</f>
        <v>5.5</v>
      </c>
      <c r="E25" s="724">
        <v>4</v>
      </c>
      <c r="F25" s="724">
        <v>175</v>
      </c>
      <c r="G25" s="749">
        <f>H25/E25</f>
        <v>206.787109375</v>
      </c>
      <c r="H25" s="749">
        <f t="shared" ref="H25" si="12">D25*F25/128/M25*J25</f>
        <v>827.1484375</v>
      </c>
      <c r="I25" s="749">
        <f t="shared" si="10"/>
        <v>0</v>
      </c>
      <c r="J25" s="750">
        <v>275</v>
      </c>
      <c r="K25" s="683">
        <f>'Range Quantities'!K27</f>
        <v>0</v>
      </c>
      <c r="L25" s="749">
        <f t="shared" si="11"/>
        <v>0</v>
      </c>
      <c r="M25" s="683">
        <v>2.5</v>
      </c>
      <c r="N25" s="685" t="s">
        <v>108</v>
      </c>
      <c r="O25" s="756">
        <f>H25</f>
        <v>827.1484375</v>
      </c>
      <c r="Q25" s="687"/>
      <c r="R25" s="786"/>
      <c r="S25" s="571"/>
      <c r="T25" s="571"/>
      <c r="U25" s="688"/>
      <c r="V25" s="688"/>
      <c r="W25" s="571"/>
      <c r="X25" s="571"/>
      <c r="Y25" s="760"/>
    </row>
    <row r="26" spans="1:28" x14ac:dyDescent="0.25">
      <c r="A26" s="689" t="s">
        <v>35</v>
      </c>
      <c r="B26" s="690" t="s">
        <v>172</v>
      </c>
      <c r="C26" s="690">
        <f>'Range Quantities'!B30</f>
        <v>1</v>
      </c>
      <c r="D26" s="690">
        <f>'Range Quantities'!C30</f>
        <v>16</v>
      </c>
      <c r="E26" s="725">
        <v>4</v>
      </c>
      <c r="F26" s="725">
        <v>175</v>
      </c>
      <c r="G26" s="692">
        <f>H26/E26</f>
        <v>32.1815</v>
      </c>
      <c r="H26" s="692">
        <f>D26*E26/128/M26*J26</f>
        <v>128.726</v>
      </c>
      <c r="I26" s="692">
        <f>H26*C26</f>
        <v>128.726</v>
      </c>
      <c r="J26" s="692">
        <f>'Total Order Sheet'!C92</f>
        <v>643.63</v>
      </c>
      <c r="K26" s="690">
        <f>'Range Quantities'!K30</f>
        <v>0</v>
      </c>
      <c r="L26" s="692">
        <f>J26*K26</f>
        <v>0</v>
      </c>
      <c r="M26" s="690">
        <v>2.5</v>
      </c>
      <c r="N26" s="693" t="s">
        <v>108</v>
      </c>
      <c r="O26" s="756">
        <f t="shared" si="3"/>
        <v>128.726</v>
      </c>
      <c r="Q26" s="696"/>
      <c r="R26" s="992"/>
      <c r="S26" s="1064">
        <f>O26</f>
        <v>128.726</v>
      </c>
      <c r="T26" s="579"/>
      <c r="U26" s="579"/>
      <c r="V26" s="579"/>
      <c r="W26" s="695"/>
      <c r="X26" s="579"/>
      <c r="Y26" s="761"/>
    </row>
    <row r="27" spans="1:28" x14ac:dyDescent="0.25">
      <c r="A27" s="689" t="s">
        <v>128</v>
      </c>
      <c r="B27" s="690" t="s">
        <v>173</v>
      </c>
      <c r="C27" s="690">
        <f>'Range Quantities'!B31</f>
        <v>13</v>
      </c>
      <c r="D27" s="690">
        <f>'Range Quantities'!C31</f>
        <v>3.5</v>
      </c>
      <c r="E27" s="725">
        <v>4</v>
      </c>
      <c r="F27" s="725">
        <v>175</v>
      </c>
      <c r="G27" s="692">
        <f t="shared" ref="G27:G28" si="13">H27/E27</f>
        <v>3.6093749999999996</v>
      </c>
      <c r="H27" s="692">
        <f>D27*E27/128/M27*J27</f>
        <v>14.437499999999998</v>
      </c>
      <c r="I27" s="692">
        <f t="shared" ref="I27:I28" si="14">H27*C27</f>
        <v>187.68749999999997</v>
      </c>
      <c r="J27" s="692">
        <v>330</v>
      </c>
      <c r="K27" s="690">
        <f>'Range Quantities'!K31</f>
        <v>1</v>
      </c>
      <c r="L27" s="692">
        <f t="shared" ref="L27" si="15">J27*K27</f>
        <v>330</v>
      </c>
      <c r="M27" s="690">
        <v>2.5</v>
      </c>
      <c r="N27" s="693" t="s">
        <v>108</v>
      </c>
      <c r="O27" s="756">
        <f>H27</f>
        <v>14.437499999999998</v>
      </c>
      <c r="Q27" s="696"/>
      <c r="R27" s="992"/>
      <c r="S27" s="695">
        <f>O27*2</f>
        <v>28.874999999999996</v>
      </c>
      <c r="T27" s="695">
        <f>O27*3</f>
        <v>43.312499999999993</v>
      </c>
      <c r="U27" s="695">
        <f>O27*2</f>
        <v>28.874999999999996</v>
      </c>
      <c r="V27" s="695">
        <f>O27*2</f>
        <v>28.874999999999996</v>
      </c>
      <c r="W27" s="695">
        <f>O27*2</f>
        <v>28.874999999999996</v>
      </c>
      <c r="X27" s="695">
        <f>O27*2</f>
        <v>28.874999999999996</v>
      </c>
      <c r="Y27" s="761"/>
    </row>
    <row r="28" spans="1:28" x14ac:dyDescent="0.25">
      <c r="A28" s="689" t="s">
        <v>129</v>
      </c>
      <c r="B28" s="690" t="s">
        <v>168</v>
      </c>
      <c r="C28" s="690">
        <f>'Range Quantities'!B32</f>
        <v>8</v>
      </c>
      <c r="D28" s="690">
        <f>'Range Quantities'!C32</f>
        <v>0.75</v>
      </c>
      <c r="E28" s="725">
        <v>4</v>
      </c>
      <c r="F28" s="725">
        <v>175</v>
      </c>
      <c r="G28" s="692">
        <f t="shared" si="13"/>
        <v>25.7578125</v>
      </c>
      <c r="H28" s="692">
        <f>D28*E28/M28*J28</f>
        <v>103.03125</v>
      </c>
      <c r="I28" s="692">
        <f t="shared" si="14"/>
        <v>824.25</v>
      </c>
      <c r="J28" s="692">
        <f>'Total Order Sheet'!C72</f>
        <v>549.5</v>
      </c>
      <c r="K28" s="690">
        <f>'Range Quantities'!K32</f>
        <v>2</v>
      </c>
      <c r="L28" s="692">
        <f>J28*K28</f>
        <v>1099</v>
      </c>
      <c r="M28" s="690">
        <v>16</v>
      </c>
      <c r="N28" s="693" t="s">
        <v>112</v>
      </c>
      <c r="O28" s="756">
        <f t="shared" si="3"/>
        <v>103.03125</v>
      </c>
      <c r="Q28" s="696"/>
      <c r="R28" s="993"/>
      <c r="S28" s="695">
        <f>O28*2</f>
        <v>206.0625</v>
      </c>
      <c r="T28" s="695">
        <f>O28*3</f>
        <v>309.09375</v>
      </c>
      <c r="U28" s="695"/>
      <c r="V28" s="1064"/>
      <c r="W28" s="1064">
        <f>O28</f>
        <v>103.03125</v>
      </c>
      <c r="X28" s="1064">
        <f>O28*2</f>
        <v>206.0625</v>
      </c>
      <c r="Y28" s="761"/>
    </row>
    <row r="29" spans="1:28" x14ac:dyDescent="0.25">
      <c r="A29" s="697" t="s">
        <v>196</v>
      </c>
      <c r="B29" s="698" t="s">
        <v>167</v>
      </c>
      <c r="C29" s="698">
        <f>'Range Quantities'!B35</f>
        <v>6</v>
      </c>
      <c r="D29" s="698">
        <f>'Range Quantities'!C35</f>
        <v>6</v>
      </c>
      <c r="E29" s="726">
        <v>4</v>
      </c>
      <c r="F29" s="726">
        <v>175</v>
      </c>
      <c r="G29" s="751">
        <f>H29/E29</f>
        <v>5.25</v>
      </c>
      <c r="H29" s="751">
        <f>D29*E29/128/M29*J29</f>
        <v>21</v>
      </c>
      <c r="I29" s="751">
        <f>H29*C29</f>
        <v>126</v>
      </c>
      <c r="J29" s="751">
        <f>'Total Order Sheet'!C64</f>
        <v>280</v>
      </c>
      <c r="K29" s="698">
        <f>'Range Quantities'!K35</f>
        <v>1</v>
      </c>
      <c r="L29" s="751">
        <f>J29*K29</f>
        <v>280</v>
      </c>
      <c r="M29" s="698">
        <v>2.5</v>
      </c>
      <c r="N29" s="700" t="s">
        <v>108</v>
      </c>
      <c r="O29" s="756">
        <f>H29</f>
        <v>21</v>
      </c>
      <c r="Q29" s="1119">
        <f>O29*2</f>
        <v>42</v>
      </c>
      <c r="R29" s="994"/>
      <c r="S29" s="1066">
        <f>O29*2</f>
        <v>42</v>
      </c>
      <c r="T29" s="572"/>
      <c r="U29" s="1066">
        <f>O29</f>
        <v>21</v>
      </c>
      <c r="V29" s="572"/>
      <c r="W29" s="572"/>
      <c r="X29" s="572"/>
      <c r="Y29" s="762"/>
    </row>
    <row r="30" spans="1:28" x14ac:dyDescent="0.25">
      <c r="A30" s="697" t="s">
        <v>52</v>
      </c>
      <c r="B30" s="698" t="s">
        <v>165</v>
      </c>
      <c r="C30" s="698">
        <f>'Range Quantities'!B36</f>
        <v>12</v>
      </c>
      <c r="D30" s="698">
        <f>'Range Quantities'!C36</f>
        <v>6</v>
      </c>
      <c r="E30" s="726">
        <v>4</v>
      </c>
      <c r="F30" s="726">
        <v>175</v>
      </c>
      <c r="G30" s="751">
        <f t="shared" ref="G30:G31" si="16">H30/E30</f>
        <v>24.046875</v>
      </c>
      <c r="H30" s="751">
        <f t="shared" ref="H30:H31" si="17">D30*E30/128/M30*J30</f>
        <v>96.1875</v>
      </c>
      <c r="I30" s="751">
        <f t="shared" ref="I30:I31" si="18">H30*C30</f>
        <v>1154.25</v>
      </c>
      <c r="J30" s="751">
        <f>'Total Order Sheet'!C11</f>
        <v>1282.5</v>
      </c>
      <c r="K30" s="698">
        <f>'Range Quantities'!K36</f>
        <v>0</v>
      </c>
      <c r="L30" s="751">
        <f t="shared" ref="L30:L31" si="19">K30*J30</f>
        <v>0</v>
      </c>
      <c r="M30" s="698">
        <v>2.5</v>
      </c>
      <c r="N30" s="700" t="s">
        <v>108</v>
      </c>
      <c r="O30" s="756">
        <f t="shared" si="3"/>
        <v>96.1875</v>
      </c>
      <c r="Q30" s="701"/>
      <c r="R30" s="995"/>
      <c r="S30" s="1066">
        <f>O30</f>
        <v>96.1875</v>
      </c>
      <c r="T30" s="702">
        <f>O30*2</f>
        <v>192.375</v>
      </c>
      <c r="U30" s="702">
        <f>O30*2</f>
        <v>192.375</v>
      </c>
      <c r="V30" s="702">
        <f>O30*2</f>
        <v>192.375</v>
      </c>
      <c r="W30" s="702">
        <f>O30*2</f>
        <v>192.375</v>
      </c>
      <c r="X30" s="702">
        <f>O30*2</f>
        <v>192.375</v>
      </c>
      <c r="Y30" s="762"/>
    </row>
    <row r="31" spans="1:28" x14ac:dyDescent="0.25">
      <c r="A31" s="697" t="s">
        <v>50</v>
      </c>
      <c r="B31" s="698" t="s">
        <v>168</v>
      </c>
      <c r="C31" s="698">
        <f>'Range Quantities'!B38</f>
        <v>13</v>
      </c>
      <c r="D31" s="698">
        <f>'Range Quantities'!C38</f>
        <v>9</v>
      </c>
      <c r="E31" s="726">
        <v>4</v>
      </c>
      <c r="F31" s="726">
        <v>175</v>
      </c>
      <c r="G31" s="751">
        <f t="shared" si="16"/>
        <v>21.382031250000001</v>
      </c>
      <c r="H31" s="751">
        <f t="shared" si="17"/>
        <v>85.528125000000003</v>
      </c>
      <c r="I31" s="751">
        <f t="shared" si="18"/>
        <v>1111.8656250000001</v>
      </c>
      <c r="J31" s="751">
        <f>'Total Order Sheet'!C71</f>
        <v>760.25</v>
      </c>
      <c r="K31" s="698">
        <f>'Range Quantities'!K38</f>
        <v>1</v>
      </c>
      <c r="L31" s="751">
        <f t="shared" si="19"/>
        <v>760.25</v>
      </c>
      <c r="M31" s="698">
        <v>2.5</v>
      </c>
      <c r="N31" s="700" t="s">
        <v>108</v>
      </c>
      <c r="O31" s="756">
        <f t="shared" si="3"/>
        <v>85.528125000000003</v>
      </c>
      <c r="Q31" s="701"/>
      <c r="R31" s="995"/>
      <c r="S31" s="702">
        <f>O31*2</f>
        <v>171.05625000000001</v>
      </c>
      <c r="T31" s="702">
        <f>O31*2</f>
        <v>171.05625000000001</v>
      </c>
      <c r="U31" s="702">
        <f>O31*2</f>
        <v>171.05625000000001</v>
      </c>
      <c r="V31" s="702">
        <f>O31*2</f>
        <v>171.05625000000001</v>
      </c>
      <c r="W31" s="702">
        <f>O31*2</f>
        <v>171.05625000000001</v>
      </c>
      <c r="X31" s="702">
        <f>O31*2</f>
        <v>171.05625000000001</v>
      </c>
      <c r="Y31" s="762"/>
    </row>
    <row r="32" spans="1:28" x14ac:dyDescent="0.25">
      <c r="A32" s="697" t="s">
        <v>11</v>
      </c>
      <c r="B32" s="698" t="s">
        <v>164</v>
      </c>
      <c r="C32" s="698">
        <f>'Range Quantities'!B37</f>
        <v>3</v>
      </c>
      <c r="D32" s="698">
        <f>'Range Quantities'!C37</f>
        <v>5</v>
      </c>
      <c r="E32" s="726">
        <v>4</v>
      </c>
      <c r="F32" s="726">
        <v>175</v>
      </c>
      <c r="G32" s="751">
        <f>H32/E32</f>
        <v>88.18359375</v>
      </c>
      <c r="H32" s="751">
        <f>D32*F32/128/M32*J32</f>
        <v>352.734375</v>
      </c>
      <c r="I32" s="751">
        <f>H32*C32</f>
        <v>1058.203125</v>
      </c>
      <c r="J32" s="751">
        <f>'Total Order Sheet'!C35</f>
        <v>129</v>
      </c>
      <c r="K32" s="698">
        <f>'Range Quantities'!K37</f>
        <v>8</v>
      </c>
      <c r="L32" s="751">
        <f>K32*J32</f>
        <v>1032</v>
      </c>
      <c r="M32" s="698">
        <v>2.5</v>
      </c>
      <c r="N32" s="700" t="s">
        <v>108</v>
      </c>
      <c r="O32" s="756">
        <f>H32</f>
        <v>352.734375</v>
      </c>
      <c r="Q32" s="1119">
        <f>O32*2</f>
        <v>705.46875</v>
      </c>
      <c r="R32" s="995"/>
      <c r="S32" s="702"/>
      <c r="T32" s="702"/>
      <c r="U32" s="702"/>
      <c r="V32" s="702"/>
      <c r="W32" s="702"/>
      <c r="X32" s="702"/>
      <c r="Y32" s="1133">
        <f>O32</f>
        <v>352.734375</v>
      </c>
    </row>
    <row r="33" spans="1:25" x14ac:dyDescent="0.25">
      <c r="A33" s="704" t="s">
        <v>32</v>
      </c>
      <c r="B33" s="705" t="s">
        <v>174</v>
      </c>
      <c r="C33" s="705">
        <v>0</v>
      </c>
      <c r="D33" s="705">
        <v>4</v>
      </c>
      <c r="E33" s="705">
        <v>4</v>
      </c>
      <c r="F33" s="705">
        <v>175</v>
      </c>
      <c r="G33" s="752">
        <f>H33/E33</f>
        <v>198.7890625</v>
      </c>
      <c r="H33" s="752">
        <f>D33*F33/128/M33*J33</f>
        <v>795.15625</v>
      </c>
      <c r="I33" s="752">
        <f>H33*C33</f>
        <v>0</v>
      </c>
      <c r="J33" s="752">
        <f>'Total Order Sheet'!C105</f>
        <v>7997</v>
      </c>
      <c r="K33" s="705">
        <v>0</v>
      </c>
      <c r="L33" s="752">
        <f>K33*J33</f>
        <v>0</v>
      </c>
      <c r="M33" s="705">
        <v>55</v>
      </c>
      <c r="N33" s="707" t="s">
        <v>108</v>
      </c>
      <c r="O33" s="756">
        <f t="shared" si="3"/>
        <v>795.15625</v>
      </c>
      <c r="Q33" s="710"/>
      <c r="R33" s="996"/>
      <c r="S33" s="709"/>
      <c r="T33" s="709"/>
      <c r="U33" s="709"/>
      <c r="V33" s="709"/>
      <c r="W33" s="709"/>
      <c r="X33" s="593"/>
      <c r="Y33" s="763"/>
    </row>
    <row r="34" spans="1:25" x14ac:dyDescent="0.25">
      <c r="A34" s="704" t="s">
        <v>63</v>
      </c>
      <c r="B34" s="705" t="s">
        <v>175</v>
      </c>
      <c r="C34" s="705">
        <f>'Range Quantities'!B41</f>
        <v>5</v>
      </c>
      <c r="D34" s="705">
        <f>'Range Quantities'!C41</f>
        <v>0.5</v>
      </c>
      <c r="E34" s="705">
        <v>4</v>
      </c>
      <c r="F34" s="705">
        <v>175</v>
      </c>
      <c r="G34" s="752">
        <f>H34/E34</f>
        <v>13.134765625</v>
      </c>
      <c r="H34" s="752">
        <f>D34*F34/128/M34*J34</f>
        <v>52.5390625</v>
      </c>
      <c r="I34" s="752">
        <f t="shared" ref="I34:I35" si="20">H34*C34</f>
        <v>262.6953125</v>
      </c>
      <c r="J34" s="752">
        <f>'Total Order Sheet'!C108</f>
        <v>2690</v>
      </c>
      <c r="K34" s="705">
        <f>'Range Quantities'!K41</f>
        <v>1</v>
      </c>
      <c r="L34" s="752">
        <f t="shared" ref="L34:L35" si="21">K34*J34</f>
        <v>2690</v>
      </c>
      <c r="M34" s="705">
        <v>35</v>
      </c>
      <c r="N34" s="707" t="s">
        <v>108</v>
      </c>
      <c r="O34" s="756">
        <f t="shared" si="3"/>
        <v>52.5390625</v>
      </c>
      <c r="Q34" s="710"/>
      <c r="R34" s="996"/>
      <c r="S34" s="709">
        <f>O34</f>
        <v>52.5390625</v>
      </c>
      <c r="T34" s="709">
        <f>O34</f>
        <v>52.5390625</v>
      </c>
      <c r="U34" s="709">
        <f>O34</f>
        <v>52.5390625</v>
      </c>
      <c r="V34" s="709">
        <f>O34*2</f>
        <v>105.078125</v>
      </c>
      <c r="W34" s="709"/>
      <c r="X34" s="593"/>
      <c r="Y34" s="763"/>
    </row>
    <row r="35" spans="1:25" x14ac:dyDescent="0.25">
      <c r="A35" s="704" t="s">
        <v>133</v>
      </c>
      <c r="B35" s="705" t="s">
        <v>175</v>
      </c>
      <c r="C35" s="705">
        <v>0</v>
      </c>
      <c r="D35" s="705">
        <v>4</v>
      </c>
      <c r="E35" s="705">
        <v>4</v>
      </c>
      <c r="F35" s="705">
        <v>175</v>
      </c>
      <c r="G35" s="752">
        <f t="shared" ref="G35" si="22">H35/E35</f>
        <v>115.234375</v>
      </c>
      <c r="H35" s="752">
        <f>D35*F35/128/M35*J35</f>
        <v>460.9375</v>
      </c>
      <c r="I35" s="752">
        <f t="shared" si="20"/>
        <v>0</v>
      </c>
      <c r="J35" s="752">
        <f>'Total Order Sheet'!C109</f>
        <v>2950</v>
      </c>
      <c r="K35" s="705">
        <v>0</v>
      </c>
      <c r="L35" s="752">
        <f t="shared" si="21"/>
        <v>0</v>
      </c>
      <c r="M35" s="705">
        <v>35</v>
      </c>
      <c r="N35" s="707" t="s">
        <v>108</v>
      </c>
      <c r="O35" s="756">
        <f>H35</f>
        <v>460.9375</v>
      </c>
      <c r="Q35" s="710"/>
      <c r="R35" s="997"/>
      <c r="S35" s="593"/>
      <c r="T35" s="593"/>
      <c r="U35" s="593"/>
      <c r="V35" s="593"/>
      <c r="W35" s="593"/>
      <c r="X35" s="593"/>
      <c r="Y35" s="763"/>
    </row>
    <row r="36" spans="1:25" x14ac:dyDescent="0.25">
      <c r="A36" s="1401" t="s">
        <v>138</v>
      </c>
      <c r="B36" s="1402" t="s">
        <v>176</v>
      </c>
      <c r="C36" s="1402">
        <f>'Range Quantities'!B44</f>
        <v>15</v>
      </c>
      <c r="D36" s="1402">
        <v>1.8</v>
      </c>
      <c r="E36" s="1402">
        <v>4</v>
      </c>
      <c r="F36" s="1402">
        <f>ROUNDUP(E36*43.56,0)</f>
        <v>175</v>
      </c>
      <c r="G36" s="1425">
        <f>H36/E36</f>
        <v>13.53515625</v>
      </c>
      <c r="H36" s="1425">
        <f>D36*F36/128/M36*J36</f>
        <v>54.140625</v>
      </c>
      <c r="I36" s="1425">
        <f>H36*C36</f>
        <v>812.109375</v>
      </c>
      <c r="J36" s="1425">
        <f>'Fairway, Tee Breakdown'!J36</f>
        <v>55</v>
      </c>
      <c r="K36" s="1402">
        <v>17</v>
      </c>
      <c r="L36" s="1425">
        <f>J36*K36</f>
        <v>935</v>
      </c>
      <c r="M36" s="1402">
        <v>2.5</v>
      </c>
      <c r="N36" s="1404" t="s">
        <v>108</v>
      </c>
      <c r="O36" s="756">
        <f t="shared" si="3"/>
        <v>54.140625</v>
      </c>
      <c r="Q36" s="1411"/>
      <c r="R36" s="1431">
        <f>O36</f>
        <v>54.140625</v>
      </c>
      <c r="S36" s="1432">
        <f>O36*2</f>
        <v>108.28125</v>
      </c>
      <c r="T36" s="1432">
        <f>O36*3</f>
        <v>162.421875</v>
      </c>
      <c r="U36" s="1432">
        <f>O36*2</f>
        <v>108.28125</v>
      </c>
      <c r="V36" s="1432">
        <f>O36*2</f>
        <v>108.28125</v>
      </c>
      <c r="W36" s="1432">
        <f>O36*2</f>
        <v>108.28125</v>
      </c>
      <c r="X36" s="1432">
        <f>O36*2</f>
        <v>108.28125</v>
      </c>
      <c r="Y36" s="1433">
        <f>O36</f>
        <v>54.140625</v>
      </c>
    </row>
    <row r="37" spans="1:25" x14ac:dyDescent="0.25">
      <c r="A37" s="1401" t="s">
        <v>139</v>
      </c>
      <c r="B37" s="1402" t="s">
        <v>176</v>
      </c>
      <c r="C37" s="1402">
        <f>'Range Quantities'!B45</f>
        <v>14</v>
      </c>
      <c r="D37" s="1402">
        <v>1.8</v>
      </c>
      <c r="E37" s="1402">
        <v>4</v>
      </c>
      <c r="F37" s="1402">
        <f t="shared" ref="F37:F41" si="23">ROUNDUP(E37*43.56,0)</f>
        <v>175</v>
      </c>
      <c r="G37" s="1425">
        <f t="shared" ref="G37:G41" si="24">H37/E37</f>
        <v>22.1484375</v>
      </c>
      <c r="H37" s="1425">
        <f t="shared" ref="H37:H41" si="25">D37*F37/128/M37*J37</f>
        <v>88.59375</v>
      </c>
      <c r="I37" s="1425">
        <f t="shared" ref="I37:I41" si="26">H37*C37</f>
        <v>1240.3125</v>
      </c>
      <c r="J37" s="1425">
        <f>'Fairway, Tee Breakdown'!J37</f>
        <v>90</v>
      </c>
      <c r="K37" s="1402">
        <v>17</v>
      </c>
      <c r="L37" s="1425">
        <f t="shared" ref="L37:L41" si="27">J37*K37</f>
        <v>1530</v>
      </c>
      <c r="M37" s="1402">
        <v>2.5</v>
      </c>
      <c r="N37" s="1404" t="s">
        <v>108</v>
      </c>
      <c r="O37" s="756">
        <f t="shared" si="3"/>
        <v>88.59375</v>
      </c>
      <c r="Q37" s="1411"/>
      <c r="R37" s="1431">
        <f>O37</f>
        <v>88.59375</v>
      </c>
      <c r="S37" s="1432">
        <f>O37*2</f>
        <v>177.1875</v>
      </c>
      <c r="T37" s="1432">
        <f>O37*3</f>
        <v>265.78125</v>
      </c>
      <c r="U37" s="1432">
        <f>O37*2</f>
        <v>177.1875</v>
      </c>
      <c r="V37" s="1432">
        <f>O37*2</f>
        <v>177.1875</v>
      </c>
      <c r="W37" s="1432">
        <f>O37*2</f>
        <v>177.1875</v>
      </c>
      <c r="X37" s="1432">
        <f>O37*2</f>
        <v>177.1875</v>
      </c>
      <c r="Y37" s="1433">
        <f>O37</f>
        <v>88.59375</v>
      </c>
    </row>
    <row r="38" spans="1:25" x14ac:dyDescent="0.25">
      <c r="A38" s="1401" t="s">
        <v>140</v>
      </c>
      <c r="B38" s="1402" t="s">
        <v>176</v>
      </c>
      <c r="C38" s="1402">
        <f>'Range Quantities'!B46</f>
        <v>13</v>
      </c>
      <c r="D38" s="1402">
        <v>1.8</v>
      </c>
      <c r="E38" s="1402">
        <v>4</v>
      </c>
      <c r="F38" s="1402">
        <f t="shared" si="23"/>
        <v>175</v>
      </c>
      <c r="G38" s="1425">
        <f t="shared" si="24"/>
        <v>40.974609375</v>
      </c>
      <c r="H38" s="1425">
        <f t="shared" si="25"/>
        <v>163.8984375</v>
      </c>
      <c r="I38" s="1425">
        <f t="shared" si="26"/>
        <v>2130.6796875</v>
      </c>
      <c r="J38" s="1425">
        <f>'Fairway, Tee Breakdown'!J38</f>
        <v>166.5</v>
      </c>
      <c r="K38" s="1402">
        <v>17</v>
      </c>
      <c r="L38" s="1425">
        <f t="shared" si="27"/>
        <v>2830.5</v>
      </c>
      <c r="M38" s="1402">
        <v>2.5</v>
      </c>
      <c r="N38" s="1404" t="s">
        <v>108</v>
      </c>
      <c r="O38" s="756">
        <f t="shared" si="3"/>
        <v>163.8984375</v>
      </c>
      <c r="Q38" s="1411"/>
      <c r="R38" s="1434"/>
      <c r="S38" s="1432">
        <f>O38*2</f>
        <v>327.796875</v>
      </c>
      <c r="T38" s="1432">
        <f>O38*3</f>
        <v>491.6953125</v>
      </c>
      <c r="U38" s="1432">
        <f>O38*2</f>
        <v>327.796875</v>
      </c>
      <c r="V38" s="1432">
        <f>O38*2</f>
        <v>327.796875</v>
      </c>
      <c r="W38" s="1432">
        <f>O38*2</f>
        <v>327.796875</v>
      </c>
      <c r="X38" s="1414"/>
      <c r="Y38" s="1435"/>
    </row>
    <row r="39" spans="1:25" x14ac:dyDescent="0.25">
      <c r="A39" s="1401" t="s">
        <v>141</v>
      </c>
      <c r="B39" s="1402" t="s">
        <v>176</v>
      </c>
      <c r="C39" s="1402">
        <f>'Range Quantities'!B47</f>
        <v>14</v>
      </c>
      <c r="D39" s="1402">
        <v>0.75</v>
      </c>
      <c r="E39" s="1402">
        <v>4</v>
      </c>
      <c r="F39" s="1402">
        <f t="shared" si="23"/>
        <v>175</v>
      </c>
      <c r="G39" s="1425">
        <f t="shared" si="24"/>
        <v>4.87060546875</v>
      </c>
      <c r="H39" s="1425">
        <f t="shared" si="25"/>
        <v>19.482421875</v>
      </c>
      <c r="I39" s="1425">
        <f t="shared" si="26"/>
        <v>272.75390625</v>
      </c>
      <c r="J39" s="1425">
        <f>'Fairway, Tee Breakdown'!J39</f>
        <v>47.5</v>
      </c>
      <c r="K39" s="1402">
        <v>17</v>
      </c>
      <c r="L39" s="1425">
        <f t="shared" si="27"/>
        <v>807.5</v>
      </c>
      <c r="M39" s="1402">
        <v>2.5</v>
      </c>
      <c r="N39" s="1404" t="s">
        <v>108</v>
      </c>
      <c r="O39" s="756">
        <f t="shared" si="3"/>
        <v>19.482421875</v>
      </c>
      <c r="Q39" s="1411"/>
      <c r="R39" s="1431">
        <f>O39</f>
        <v>19.482421875</v>
      </c>
      <c r="S39" s="1432">
        <f>O39*2</f>
        <v>38.96484375</v>
      </c>
      <c r="T39" s="1432">
        <f>O39*3</f>
        <v>58.447265625</v>
      </c>
      <c r="U39" s="1432">
        <f>O39*2</f>
        <v>38.96484375</v>
      </c>
      <c r="V39" s="1432">
        <f>O39*2</f>
        <v>38.96484375</v>
      </c>
      <c r="W39" s="1432">
        <f>O39*2</f>
        <v>38.96484375</v>
      </c>
      <c r="X39" s="1432">
        <f>O39*2</f>
        <v>38.96484375</v>
      </c>
      <c r="Y39" s="1433">
        <f>O38</f>
        <v>163.8984375</v>
      </c>
    </row>
    <row r="40" spans="1:25" x14ac:dyDescent="0.25">
      <c r="A40" s="1401" t="s">
        <v>142</v>
      </c>
      <c r="B40" s="1402" t="s">
        <v>176</v>
      </c>
      <c r="C40" s="1402">
        <f>'Range Quantities'!B48</f>
        <v>7</v>
      </c>
      <c r="D40" s="1402">
        <v>0.5</v>
      </c>
      <c r="E40" s="1402">
        <v>4</v>
      </c>
      <c r="F40" s="1402">
        <f t="shared" si="23"/>
        <v>175</v>
      </c>
      <c r="G40" s="1425">
        <f t="shared" si="24"/>
        <v>20.849609375</v>
      </c>
      <c r="H40" s="1425">
        <f t="shared" si="25"/>
        <v>83.3984375</v>
      </c>
      <c r="I40" s="1425">
        <f t="shared" si="26"/>
        <v>583.7890625</v>
      </c>
      <c r="J40" s="1425">
        <f>'Fairway, Tee Breakdown'!J40</f>
        <v>305</v>
      </c>
      <c r="K40" s="1402">
        <v>8</v>
      </c>
      <c r="L40" s="1425">
        <f t="shared" si="27"/>
        <v>2440</v>
      </c>
      <c r="M40" s="1402">
        <v>2.5</v>
      </c>
      <c r="N40" s="1404" t="s">
        <v>108</v>
      </c>
      <c r="O40" s="756">
        <f t="shared" si="3"/>
        <v>83.3984375</v>
      </c>
      <c r="Q40" s="1411"/>
      <c r="R40" s="1434"/>
      <c r="S40" s="1432">
        <f>O40</f>
        <v>83.3984375</v>
      </c>
      <c r="T40" s="1432">
        <f>O40</f>
        <v>83.3984375</v>
      </c>
      <c r="U40" s="1432">
        <f>O40</f>
        <v>83.3984375</v>
      </c>
      <c r="V40" s="1432">
        <f>O40*2</f>
        <v>166.796875</v>
      </c>
      <c r="W40" s="1432">
        <f>O40*2</f>
        <v>166.796875</v>
      </c>
      <c r="X40" s="1432">
        <f>O40</f>
        <v>83.3984375</v>
      </c>
      <c r="Y40" s="1435"/>
    </row>
    <row r="41" spans="1:25" x14ac:dyDescent="0.25">
      <c r="A41" s="1405" t="s">
        <v>143</v>
      </c>
      <c r="B41" s="1406" t="s">
        <v>176</v>
      </c>
      <c r="C41" s="1406">
        <f>'Range Quantities'!B49</f>
        <v>7</v>
      </c>
      <c r="D41" s="1406">
        <v>0.5</v>
      </c>
      <c r="E41" s="1406">
        <v>4</v>
      </c>
      <c r="F41" s="1406">
        <f t="shared" si="23"/>
        <v>175</v>
      </c>
      <c r="G41" s="1426">
        <f t="shared" si="24"/>
        <v>13.671875</v>
      </c>
      <c r="H41" s="1426">
        <f t="shared" si="25"/>
        <v>54.6875</v>
      </c>
      <c r="I41" s="1426">
        <f t="shared" si="26"/>
        <v>382.8125</v>
      </c>
      <c r="J41" s="1426">
        <f>'Fairway, Tee Breakdown'!J41</f>
        <v>200</v>
      </c>
      <c r="K41" s="1406">
        <v>9</v>
      </c>
      <c r="L41" s="1426">
        <f t="shared" si="27"/>
        <v>1800</v>
      </c>
      <c r="M41" s="1406">
        <v>2.5</v>
      </c>
      <c r="N41" s="1408" t="s">
        <v>108</v>
      </c>
      <c r="O41" s="757">
        <f t="shared" si="3"/>
        <v>54.6875</v>
      </c>
      <c r="Q41" s="1415"/>
      <c r="R41" s="1436">
        <f>O41</f>
        <v>54.6875</v>
      </c>
      <c r="S41" s="1437">
        <f>O41</f>
        <v>54.6875</v>
      </c>
      <c r="T41" s="1437">
        <f>O41*3</f>
        <v>164.0625</v>
      </c>
      <c r="U41" s="1437">
        <f>O41</f>
        <v>54.6875</v>
      </c>
      <c r="V41" s="1437">
        <f>O41</f>
        <v>54.6875</v>
      </c>
      <c r="W41" s="1437">
        <f>O41</f>
        <v>54.6875</v>
      </c>
      <c r="X41" s="1437">
        <f>O41</f>
        <v>54.6875</v>
      </c>
      <c r="Y41" s="1438">
        <f>O41</f>
        <v>54.6875</v>
      </c>
    </row>
    <row r="42" spans="1:25" x14ac:dyDescent="0.25">
      <c r="R42" t="s">
        <v>179</v>
      </c>
      <c r="S42" t="s">
        <v>180</v>
      </c>
      <c r="T42" t="s">
        <v>181</v>
      </c>
      <c r="U42" t="s">
        <v>182</v>
      </c>
      <c r="V42" t="s">
        <v>183</v>
      </c>
      <c r="W42" t="s">
        <v>184</v>
      </c>
      <c r="X42" t="s">
        <v>185</v>
      </c>
      <c r="Y42" t="s">
        <v>186</v>
      </c>
    </row>
    <row r="43" spans="1:25" x14ac:dyDescent="0.25">
      <c r="R43" s="711">
        <f t="shared" ref="R43:Y43" si="28">SUM(R3:R41)</f>
        <v>1488.3236259191176</v>
      </c>
      <c r="S43" s="711">
        <f t="shared" si="28"/>
        <v>3642.3129852941179</v>
      </c>
      <c r="T43" s="711">
        <f t="shared" si="28"/>
        <v>6112.9170634191178</v>
      </c>
      <c r="U43" s="711">
        <f t="shared" si="28"/>
        <v>3642.2679166666671</v>
      </c>
      <c r="V43" s="711">
        <f t="shared" si="28"/>
        <v>4365.2126562499998</v>
      </c>
      <c r="W43" s="442">
        <f t="shared" si="28"/>
        <v>2153.5773437500002</v>
      </c>
      <c r="X43" s="711">
        <f t="shared" si="28"/>
        <v>3160.6322395833336</v>
      </c>
      <c r="Y43" s="711">
        <f t="shared" si="28"/>
        <v>2135.9296875</v>
      </c>
    </row>
    <row r="45" spans="1:25" x14ac:dyDescent="0.25">
      <c r="S45" s="1135" t="s">
        <v>187</v>
      </c>
      <c r="T45" s="1134">
        <f>SUM(R43:Y43)</f>
        <v>26701.173518382351</v>
      </c>
    </row>
    <row r="48" spans="1:25" x14ac:dyDescent="0.25">
      <c r="A48" s="552"/>
      <c r="B48" s="553" t="s">
        <v>155</v>
      </c>
      <c r="C48" s="553" t="s">
        <v>188</v>
      </c>
      <c r="D48" s="553" t="s">
        <v>157</v>
      </c>
      <c r="E48" s="553" t="s">
        <v>158</v>
      </c>
      <c r="F48" s="553" t="s">
        <v>159</v>
      </c>
      <c r="G48" s="553" t="s">
        <v>160</v>
      </c>
      <c r="H48" s="553" t="s">
        <v>161</v>
      </c>
      <c r="I48" s="553" t="s">
        <v>162</v>
      </c>
      <c r="J48" s="555" t="s">
        <v>163</v>
      </c>
      <c r="K48" t="s">
        <v>189</v>
      </c>
    </row>
    <row r="49" spans="1:11" x14ac:dyDescent="0.25">
      <c r="A49" s="674" t="s">
        <v>99</v>
      </c>
      <c r="B49" s="713">
        <f t="shared" ref="B49:J49" si="29">SUM(Q3:Q19)</f>
        <v>0</v>
      </c>
      <c r="C49" s="713">
        <f t="shared" si="29"/>
        <v>1271.4193290441176</v>
      </c>
      <c r="D49" s="713">
        <f t="shared" si="29"/>
        <v>393.44870404411762</v>
      </c>
      <c r="E49" s="713">
        <f t="shared" si="29"/>
        <v>3588.1557352941177</v>
      </c>
      <c r="F49" s="713">
        <f t="shared" si="29"/>
        <v>838.97078124999996</v>
      </c>
      <c r="G49" s="713">
        <f t="shared" si="29"/>
        <v>1584.5353124999999</v>
      </c>
      <c r="H49" s="713">
        <f t="shared" si="29"/>
        <v>784.52500000000009</v>
      </c>
      <c r="I49" s="713">
        <f t="shared" si="29"/>
        <v>2099.7439583333335</v>
      </c>
      <c r="J49" s="1136">
        <f t="shared" si="29"/>
        <v>1421.875</v>
      </c>
      <c r="K49" s="714">
        <f>C49+D49+E49+F49+G49+H49+I49+J49</f>
        <v>11982.673820465687</v>
      </c>
    </row>
    <row r="50" spans="1:11" x14ac:dyDescent="0.25">
      <c r="A50" s="687" t="s">
        <v>190</v>
      </c>
      <c r="B50" s="713">
        <f t="shared" ref="B50:J50" si="30">SUM(Q20:Q25)</f>
        <v>0</v>
      </c>
      <c r="C50" s="713">
        <f t="shared" si="30"/>
        <v>0</v>
      </c>
      <c r="D50" s="713">
        <f t="shared" si="30"/>
        <v>1733.1015625</v>
      </c>
      <c r="E50" s="713">
        <f t="shared" si="30"/>
        <v>530.578125</v>
      </c>
      <c r="F50" s="713">
        <f t="shared" si="30"/>
        <v>1547.1354166666667</v>
      </c>
      <c r="G50" s="713">
        <f t="shared" si="30"/>
        <v>1409.578125</v>
      </c>
      <c r="H50" s="713">
        <f t="shared" si="30"/>
        <v>0</v>
      </c>
      <c r="I50" s="713">
        <f t="shared" si="30"/>
        <v>0</v>
      </c>
      <c r="J50" s="1136">
        <f t="shared" si="30"/>
        <v>0</v>
      </c>
      <c r="K50" s="714">
        <f t="shared" ref="K50:K53" si="31">C50+D50+E50+F50+G50+H50+I50+J50</f>
        <v>5220.393229166667</v>
      </c>
    </row>
    <row r="51" spans="1:11" x14ac:dyDescent="0.25">
      <c r="A51" s="1430" t="s">
        <v>191</v>
      </c>
      <c r="B51" s="1417">
        <f t="shared" ref="B51:J51" si="32">SUM(Q26:Q28)</f>
        <v>0</v>
      </c>
      <c r="C51" s="1417">
        <f t="shared" si="32"/>
        <v>0</v>
      </c>
      <c r="D51" s="1429">
        <f t="shared" si="32"/>
        <v>363.6635</v>
      </c>
      <c r="E51" s="1417">
        <f t="shared" si="32"/>
        <v>352.40625</v>
      </c>
      <c r="F51" s="1417">
        <f t="shared" si="32"/>
        <v>28.874999999999996</v>
      </c>
      <c r="G51" s="1417">
        <f t="shared" si="32"/>
        <v>28.874999999999996</v>
      </c>
      <c r="H51" s="1417">
        <f t="shared" si="32"/>
        <v>131.90625</v>
      </c>
      <c r="I51" s="1417">
        <f t="shared" si="32"/>
        <v>234.9375</v>
      </c>
      <c r="J51" s="1421">
        <f t="shared" si="32"/>
        <v>0</v>
      </c>
      <c r="K51" s="714">
        <f t="shared" si="31"/>
        <v>1140.6635000000001</v>
      </c>
    </row>
    <row r="52" spans="1:11" x14ac:dyDescent="0.25">
      <c r="A52" s="701" t="s">
        <v>192</v>
      </c>
      <c r="B52" s="521">
        <f t="shared" ref="B52:J52" si="33">SUM(Q29:Q32)</f>
        <v>747.46875</v>
      </c>
      <c r="C52" s="521">
        <f t="shared" si="33"/>
        <v>0</v>
      </c>
      <c r="D52" s="521">
        <f t="shared" si="33"/>
        <v>309.24374999999998</v>
      </c>
      <c r="E52" s="521">
        <f t="shared" si="33"/>
        <v>363.43124999999998</v>
      </c>
      <c r="F52" s="521">
        <f t="shared" si="33"/>
        <v>384.43124999999998</v>
      </c>
      <c r="G52" s="521">
        <f t="shared" si="33"/>
        <v>363.43124999999998</v>
      </c>
      <c r="H52" s="521">
        <f t="shared" si="33"/>
        <v>363.43124999999998</v>
      </c>
      <c r="I52" s="521">
        <f t="shared" si="33"/>
        <v>363.43124999999998</v>
      </c>
      <c r="J52" s="1137">
        <f t="shared" si="33"/>
        <v>352.734375</v>
      </c>
      <c r="K52" s="714">
        <f t="shared" si="31"/>
        <v>2500.1343750000001</v>
      </c>
    </row>
    <row r="53" spans="1:11" x14ac:dyDescent="0.25">
      <c r="A53" s="1422" t="s">
        <v>193</v>
      </c>
      <c r="B53" s="713">
        <f t="shared" ref="B53:J53" si="34">SUM(Q33:Q35)</f>
        <v>0</v>
      </c>
      <c r="C53" s="713">
        <f t="shared" si="34"/>
        <v>0</v>
      </c>
      <c r="D53" s="713">
        <f t="shared" si="34"/>
        <v>52.5390625</v>
      </c>
      <c r="E53" s="713">
        <f t="shared" si="34"/>
        <v>52.5390625</v>
      </c>
      <c r="F53" s="713">
        <f t="shared" si="34"/>
        <v>52.5390625</v>
      </c>
      <c r="G53" s="713">
        <f t="shared" si="34"/>
        <v>105.078125</v>
      </c>
      <c r="H53" s="713">
        <f t="shared" si="34"/>
        <v>0</v>
      </c>
      <c r="I53" s="713">
        <f t="shared" si="34"/>
        <v>0</v>
      </c>
      <c r="J53" s="1136">
        <f t="shared" si="34"/>
        <v>0</v>
      </c>
      <c r="K53" s="714">
        <f t="shared" si="31"/>
        <v>262.6953125</v>
      </c>
    </row>
    <row r="54" spans="1:11" x14ac:dyDescent="0.25">
      <c r="A54" s="1415" t="s">
        <v>221</v>
      </c>
      <c r="B54" s="1410">
        <v>0</v>
      </c>
      <c r="C54" s="1427">
        <f t="shared" ref="C54:J54" si="35">SUM(R36:R41)</f>
        <v>216.904296875</v>
      </c>
      <c r="D54" s="1427">
        <f t="shared" si="35"/>
        <v>790.31640625</v>
      </c>
      <c r="E54" s="1427">
        <f t="shared" si="35"/>
        <v>1225.806640625</v>
      </c>
      <c r="F54" s="1427">
        <f t="shared" si="35"/>
        <v>790.31640625</v>
      </c>
      <c r="G54" s="1427">
        <f t="shared" si="35"/>
        <v>873.71484375</v>
      </c>
      <c r="H54" s="1427">
        <f t="shared" si="35"/>
        <v>873.71484375</v>
      </c>
      <c r="I54" s="1427">
        <f t="shared" si="35"/>
        <v>462.51953125</v>
      </c>
      <c r="J54" s="1428">
        <f t="shared" si="35"/>
        <v>361.3203125</v>
      </c>
      <c r="K54" s="714">
        <f>SUM(B54:J54)</f>
        <v>5594.61328125</v>
      </c>
    </row>
    <row r="55" spans="1:11" x14ac:dyDescent="0.25">
      <c r="C55" s="714">
        <f t="shared" ref="C55:I55" si="36">SUM(C49:C54)</f>
        <v>1488.3236259191176</v>
      </c>
      <c r="D55" s="714">
        <f t="shared" si="36"/>
        <v>3642.3129852941179</v>
      </c>
      <c r="E55" s="714">
        <f t="shared" si="36"/>
        <v>6112.9170634191178</v>
      </c>
      <c r="F55" s="714">
        <f t="shared" si="36"/>
        <v>3642.2679166666667</v>
      </c>
      <c r="G55" s="714">
        <f t="shared" si="36"/>
        <v>4365.2126562499998</v>
      </c>
      <c r="H55" s="714">
        <f t="shared" si="36"/>
        <v>2153.5773437500002</v>
      </c>
      <c r="I55" s="714">
        <f t="shared" si="36"/>
        <v>3160.6322395833336</v>
      </c>
      <c r="J55" s="714">
        <f>SUM(J49:J53)</f>
        <v>1774.609375</v>
      </c>
    </row>
    <row r="56" spans="1:11" x14ac:dyDescent="0.25">
      <c r="K56" s="1424">
        <f>SUM(K49:K54)</f>
        <v>26701.173518382355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23D4-6211-4E68-9E52-4D862FA5A548}">
  <sheetPr>
    <tabColor rgb="FF00B0F0"/>
  </sheetPr>
  <dimension ref="B1:L273"/>
  <sheetViews>
    <sheetView topLeftCell="A136" workbookViewId="0">
      <selection activeCell="N2" sqref="N2"/>
    </sheetView>
  </sheetViews>
  <sheetFormatPr defaultRowHeight="15" x14ac:dyDescent="0.25"/>
  <cols>
    <col min="2" max="2" width="18.85546875" bestFit="1" customWidth="1"/>
    <col min="3" max="3" width="17.42578125" bestFit="1" customWidth="1"/>
    <col min="5" max="5" width="14.7109375" bestFit="1" customWidth="1"/>
    <col min="6" max="7" width="33.42578125" bestFit="1" customWidth="1"/>
    <col min="8" max="9" width="14.5703125" bestFit="1" customWidth="1"/>
    <col min="10" max="10" width="8.28515625" bestFit="1" customWidth="1"/>
    <col min="11" max="11" width="11.42578125" customWidth="1"/>
  </cols>
  <sheetData>
    <row r="1" spans="2:11" x14ac:dyDescent="0.25">
      <c r="B1" s="960" t="s">
        <v>222</v>
      </c>
      <c r="C1" s="860"/>
      <c r="D1" s="859"/>
      <c r="E1" s="859"/>
      <c r="F1" s="859"/>
      <c r="G1" s="859"/>
      <c r="H1" s="859"/>
      <c r="I1" s="859"/>
      <c r="J1" s="859"/>
      <c r="K1" s="859"/>
    </row>
    <row r="2" spans="2:11" x14ac:dyDescent="0.25">
      <c r="B2" s="19"/>
      <c r="C2" s="227"/>
      <c r="D2" s="274"/>
      <c r="E2" s="119"/>
      <c r="F2" s="227"/>
      <c r="G2" s="119"/>
      <c r="H2" s="227"/>
      <c r="I2" s="120"/>
      <c r="J2" s="120"/>
      <c r="K2" s="119"/>
    </row>
    <row r="3" spans="2:11" x14ac:dyDescent="0.25">
      <c r="B3" s="2" t="s">
        <v>223</v>
      </c>
      <c r="C3" s="880" t="s">
        <v>2</v>
      </c>
      <c r="D3" s="1111" t="s">
        <v>3</v>
      </c>
      <c r="E3" s="5" t="s">
        <v>4</v>
      </c>
      <c r="F3" s="275" t="s">
        <v>224</v>
      </c>
      <c r="G3" s="2" t="s">
        <v>6</v>
      </c>
      <c r="H3" s="275" t="s">
        <v>9</v>
      </c>
      <c r="I3" s="276" t="s">
        <v>225</v>
      </c>
      <c r="J3" s="276" t="s">
        <v>226</v>
      </c>
      <c r="K3" s="2" t="s">
        <v>10</v>
      </c>
    </row>
    <row r="4" spans="2:11" x14ac:dyDescent="0.25">
      <c r="B4" s="1009">
        <v>46062</v>
      </c>
      <c r="C4" s="1110" t="s">
        <v>227</v>
      </c>
      <c r="D4" s="103">
        <v>5.5</v>
      </c>
      <c r="E4" s="103">
        <v>2</v>
      </c>
      <c r="F4" s="228" t="s">
        <v>228</v>
      </c>
      <c r="G4" s="19" t="s">
        <v>229</v>
      </c>
      <c r="H4" s="228" t="s">
        <v>205</v>
      </c>
      <c r="I4" s="24" t="s">
        <v>230</v>
      </c>
      <c r="J4" s="1002" t="s">
        <v>66</v>
      </c>
      <c r="K4" s="19"/>
    </row>
    <row r="5" spans="2:11" x14ac:dyDescent="0.25">
      <c r="B5" s="1109"/>
      <c r="C5" s="342"/>
      <c r="D5" s="342"/>
      <c r="E5" s="342"/>
      <c r="F5" s="1109"/>
      <c r="G5" s="1109"/>
      <c r="H5" s="1109"/>
      <c r="I5" s="1109"/>
      <c r="J5" s="1109"/>
      <c r="K5" s="1109"/>
    </row>
    <row r="6" spans="2:11" x14ac:dyDescent="0.25">
      <c r="B6" s="277">
        <v>46104</v>
      </c>
      <c r="C6" s="278" t="s">
        <v>231</v>
      </c>
      <c r="D6" s="279"/>
      <c r="E6" s="19"/>
      <c r="F6" s="228"/>
      <c r="G6" s="19"/>
      <c r="H6" s="228"/>
      <c r="I6" s="24"/>
      <c r="J6" s="126"/>
      <c r="K6" s="2"/>
    </row>
    <row r="7" spans="2:11" x14ac:dyDescent="0.25">
      <c r="B7" s="280"/>
      <c r="C7" s="228"/>
      <c r="D7" s="104"/>
      <c r="E7" s="19"/>
      <c r="F7" s="228"/>
      <c r="G7" s="19"/>
      <c r="H7" s="228"/>
      <c r="I7" s="24"/>
      <c r="J7" s="24"/>
      <c r="K7" s="2"/>
    </row>
    <row r="8" spans="2:11" x14ac:dyDescent="0.25">
      <c r="B8" s="280">
        <v>46108</v>
      </c>
      <c r="C8" s="281" t="s">
        <v>39</v>
      </c>
      <c r="D8" s="104">
        <f>'Greens Quantities '!C4</f>
        <v>2</v>
      </c>
      <c r="E8" s="22">
        <v>2</v>
      </c>
      <c r="F8" s="282" t="s">
        <v>232</v>
      </c>
      <c r="G8" s="22" t="s">
        <v>40</v>
      </c>
      <c r="H8" s="282" t="s">
        <v>205</v>
      </c>
      <c r="I8" s="157" t="s">
        <v>230</v>
      </c>
      <c r="J8" s="153" t="s">
        <v>66</v>
      </c>
      <c r="K8" s="19"/>
    </row>
    <row r="9" spans="2:11" x14ac:dyDescent="0.25">
      <c r="B9" s="353"/>
      <c r="C9" s="303"/>
      <c r="D9" s="104"/>
      <c r="E9" s="306"/>
      <c r="F9" s="307"/>
      <c r="G9" s="306"/>
      <c r="H9" s="307"/>
      <c r="I9" s="279"/>
      <c r="J9" s="940"/>
      <c r="K9" s="103"/>
    </row>
    <row r="10" spans="2:11" ht="58.5" customHeight="1" x14ac:dyDescent="0.25">
      <c r="B10" s="280">
        <v>46112</v>
      </c>
      <c r="C10" s="278" t="s">
        <v>233</v>
      </c>
      <c r="D10" s="104">
        <f>'Greens Quantities '!C7</f>
        <v>4</v>
      </c>
      <c r="E10" s="22">
        <v>2</v>
      </c>
      <c r="F10" s="282" t="s">
        <v>234</v>
      </c>
      <c r="G10" s="22" t="s">
        <v>235</v>
      </c>
      <c r="H10" s="282" t="s">
        <v>236</v>
      </c>
      <c r="I10" s="157" t="s">
        <v>237</v>
      </c>
      <c r="J10" s="283" t="s">
        <v>19</v>
      </c>
      <c r="K10" s="294" t="s">
        <v>238</v>
      </c>
    </row>
    <row r="11" spans="2:11" x14ac:dyDescent="0.25">
      <c r="B11" s="280"/>
      <c r="C11" s="278" t="s">
        <v>239</v>
      </c>
      <c r="D11" s="104">
        <f>'Greens Quantities '!C38</f>
        <v>0.71</v>
      </c>
      <c r="E11" s="22">
        <v>2</v>
      </c>
      <c r="F11" s="282"/>
      <c r="G11" s="22"/>
      <c r="H11" s="282"/>
      <c r="I11" s="157"/>
      <c r="J11" s="1003"/>
      <c r="K11" s="103"/>
    </row>
    <row r="12" spans="2:11" x14ac:dyDescent="0.25">
      <c r="B12" s="284"/>
      <c r="C12" s="285"/>
      <c r="D12" s="286"/>
      <c r="E12" s="287"/>
      <c r="F12" s="285"/>
      <c r="G12" s="287"/>
      <c r="H12" s="285"/>
      <c r="I12" s="288"/>
      <c r="J12" s="288"/>
      <c r="K12" s="287"/>
    </row>
    <row r="13" spans="2:11" x14ac:dyDescent="0.25">
      <c r="B13" s="280">
        <v>46122</v>
      </c>
      <c r="C13" s="281" t="s">
        <v>21</v>
      </c>
      <c r="D13" s="104">
        <f>'Greens Quantities '!C5</f>
        <v>0.5</v>
      </c>
      <c r="E13" s="22">
        <v>2</v>
      </c>
      <c r="F13" s="282" t="s">
        <v>232</v>
      </c>
      <c r="G13" s="22" t="s">
        <v>22</v>
      </c>
      <c r="H13" s="282">
        <v>29</v>
      </c>
      <c r="I13" s="157" t="s">
        <v>230</v>
      </c>
      <c r="J13" s="153" t="s">
        <v>66</v>
      </c>
      <c r="K13" s="19"/>
    </row>
    <row r="14" spans="2:11" x14ac:dyDescent="0.25">
      <c r="B14" s="19"/>
      <c r="C14" s="281" t="s">
        <v>240</v>
      </c>
      <c r="D14" s="104">
        <f>'Greens Quantities '!C6</f>
        <v>4</v>
      </c>
      <c r="E14" s="19">
        <v>2</v>
      </c>
      <c r="F14" s="282" t="s">
        <v>241</v>
      </c>
      <c r="G14" s="19" t="s">
        <v>68</v>
      </c>
      <c r="H14" s="228">
        <v>2</v>
      </c>
      <c r="I14" s="24" t="s">
        <v>230</v>
      </c>
      <c r="J14" s="289" t="s">
        <v>26</v>
      </c>
      <c r="K14" s="290"/>
    </row>
    <row r="15" spans="2:11" x14ac:dyDescent="0.25">
      <c r="B15" s="19"/>
      <c r="C15" s="228"/>
      <c r="D15" s="104"/>
      <c r="E15" s="19"/>
      <c r="F15" s="282"/>
      <c r="G15" s="19"/>
      <c r="H15" s="228"/>
      <c r="I15" s="24"/>
      <c r="J15" s="24"/>
      <c r="K15" s="290"/>
    </row>
    <row r="16" spans="2:11" ht="25.5" customHeight="1" x14ac:dyDescent="0.25">
      <c r="B16" s="280">
        <v>46136</v>
      </c>
      <c r="C16" s="281" t="s">
        <v>39</v>
      </c>
      <c r="D16" s="104">
        <f>'Greens Quantities '!C4</f>
        <v>2</v>
      </c>
      <c r="E16" s="22">
        <v>2</v>
      </c>
      <c r="F16" s="282" t="s">
        <v>232</v>
      </c>
      <c r="G16" s="22" t="s">
        <v>40</v>
      </c>
      <c r="H16" s="282" t="s">
        <v>205</v>
      </c>
      <c r="I16" s="157" t="s">
        <v>230</v>
      </c>
      <c r="J16" s="153" t="s">
        <v>66</v>
      </c>
      <c r="K16" s="19"/>
    </row>
    <row r="17" spans="2:11" x14ac:dyDescent="0.25">
      <c r="B17" s="280"/>
      <c r="C17" s="228"/>
      <c r="D17" s="104"/>
      <c r="E17" s="22"/>
      <c r="F17" s="282"/>
      <c r="G17" s="22"/>
      <c r="H17" s="282"/>
      <c r="I17" s="157"/>
      <c r="J17" s="153"/>
      <c r="K17" s="19"/>
    </row>
    <row r="18" spans="2:11" x14ac:dyDescent="0.25">
      <c r="B18" s="280">
        <v>46139</v>
      </c>
      <c r="C18" s="317" t="s">
        <v>16</v>
      </c>
      <c r="D18" s="104">
        <f>'Greens Quantities '!C12</f>
        <v>0.19600000000000001</v>
      </c>
      <c r="E18" s="103">
        <v>2</v>
      </c>
      <c r="F18" s="303" t="s">
        <v>232</v>
      </c>
      <c r="G18" s="103" t="s">
        <v>17</v>
      </c>
      <c r="H18" s="303">
        <v>3</v>
      </c>
      <c r="I18" s="104" t="s">
        <v>242</v>
      </c>
      <c r="J18" s="318" t="s">
        <v>19</v>
      </c>
      <c r="K18" s="22" t="s">
        <v>18</v>
      </c>
    </row>
    <row r="19" spans="2:11" x14ac:dyDescent="0.25">
      <c r="B19" s="280"/>
      <c r="C19" s="278" t="s">
        <v>243</v>
      </c>
      <c r="D19" s="104">
        <f>'Greens Quantities '!C9</f>
        <v>0.6</v>
      </c>
      <c r="E19" s="22">
        <v>2</v>
      </c>
      <c r="F19" s="282" t="s">
        <v>244</v>
      </c>
      <c r="G19" s="22" t="s">
        <v>245</v>
      </c>
      <c r="H19" s="282">
        <v>21</v>
      </c>
      <c r="I19" s="24" t="s">
        <v>246</v>
      </c>
      <c r="J19" s="289" t="s">
        <v>26</v>
      </c>
      <c r="K19" s="291"/>
    </row>
    <row r="20" spans="2:11" x14ac:dyDescent="0.25">
      <c r="B20" s="280"/>
      <c r="C20" s="278" t="s">
        <v>32</v>
      </c>
      <c r="D20" s="104">
        <f>'Greens Quantities '!C37</f>
        <v>1.5</v>
      </c>
      <c r="E20" s="22">
        <v>2</v>
      </c>
      <c r="F20" s="282"/>
      <c r="G20" s="22"/>
      <c r="H20" s="282"/>
      <c r="I20" s="157"/>
      <c r="J20" s="292"/>
      <c r="K20" s="103"/>
    </row>
    <row r="21" spans="2:11" x14ac:dyDescent="0.25">
      <c r="B21" s="280"/>
      <c r="C21" s="278" t="s">
        <v>239</v>
      </c>
      <c r="D21" s="104">
        <f>'Greens Quantities '!C38</f>
        <v>0.71</v>
      </c>
      <c r="E21" s="22">
        <v>2</v>
      </c>
      <c r="F21" s="282"/>
      <c r="G21" s="22"/>
      <c r="H21" s="282"/>
      <c r="I21" s="157"/>
      <c r="J21" s="292"/>
      <c r="K21" s="103"/>
    </row>
    <row r="22" spans="2:11" x14ac:dyDescent="0.25">
      <c r="B22" s="280"/>
      <c r="C22" s="293" t="s">
        <v>247</v>
      </c>
      <c r="D22" s="104">
        <f>'Greens Quantities '!C29</f>
        <v>0.19500000000000001</v>
      </c>
      <c r="E22" s="22">
        <v>2</v>
      </c>
      <c r="F22" s="282" t="s">
        <v>248</v>
      </c>
      <c r="G22" s="22" t="s">
        <v>249</v>
      </c>
      <c r="H22" s="282">
        <v>7</v>
      </c>
      <c r="I22" s="157"/>
      <c r="J22" s="292"/>
      <c r="K22" s="294"/>
    </row>
    <row r="23" spans="2:11" x14ac:dyDescent="0.25">
      <c r="B23" s="295"/>
      <c r="C23" s="296"/>
      <c r="D23" s="297"/>
      <c r="E23" s="295"/>
      <c r="F23" s="296"/>
      <c r="G23" s="295"/>
      <c r="H23" s="296"/>
      <c r="I23" s="298"/>
      <c r="J23" s="298"/>
      <c r="K23" s="295"/>
    </row>
    <row r="24" spans="2:11" x14ac:dyDescent="0.25">
      <c r="B24" s="280">
        <v>46143</v>
      </c>
      <c r="C24" s="941" t="s">
        <v>39</v>
      </c>
      <c r="D24" s="104">
        <f>'Greens Quantities '!C4</f>
        <v>2</v>
      </c>
      <c r="E24" s="103">
        <v>2</v>
      </c>
      <c r="F24" s="303" t="s">
        <v>232</v>
      </c>
      <c r="G24" s="103" t="s">
        <v>40</v>
      </c>
      <c r="H24" s="303" t="s">
        <v>205</v>
      </c>
      <c r="I24" s="104" t="s">
        <v>230</v>
      </c>
      <c r="J24" s="940" t="s">
        <v>66</v>
      </c>
      <c r="K24" s="306"/>
    </row>
    <row r="25" spans="2:11" x14ac:dyDescent="0.25">
      <c r="B25" s="22"/>
      <c r="C25" s="329" t="s">
        <v>250</v>
      </c>
      <c r="D25" s="279">
        <f>'Greens Quantities '!C41</f>
        <v>2.8000000000000001E-2</v>
      </c>
      <c r="E25" s="22">
        <v>2</v>
      </c>
      <c r="F25" s="282" t="s">
        <v>251</v>
      </c>
      <c r="G25" s="103" t="s">
        <v>252</v>
      </c>
      <c r="H25" s="282"/>
      <c r="I25" s="157"/>
      <c r="J25" s="157"/>
      <c r="K25" s="300"/>
    </row>
    <row r="26" spans="2:11" x14ac:dyDescent="0.25">
      <c r="B26" s="22"/>
      <c r="C26" s="293" t="s">
        <v>57</v>
      </c>
      <c r="D26" s="104">
        <f>'Greens Quantities '!C25</f>
        <v>3</v>
      </c>
      <c r="E26" s="19">
        <v>2</v>
      </c>
      <c r="F26" s="228" t="s">
        <v>253</v>
      </c>
      <c r="G26" s="19" t="s">
        <v>58</v>
      </c>
      <c r="H26" s="228"/>
      <c r="I26" s="24"/>
      <c r="J26" s="129"/>
      <c r="K26" s="22" t="s">
        <v>254</v>
      </c>
    </row>
    <row r="27" spans="2:11" x14ac:dyDescent="0.25">
      <c r="B27" s="22"/>
      <c r="C27" s="228"/>
      <c r="D27" s="104"/>
      <c r="E27" s="19"/>
      <c r="F27" s="228"/>
      <c r="G27" s="19"/>
      <c r="H27" s="228"/>
      <c r="I27" s="24"/>
      <c r="J27" s="24"/>
      <c r="K27" s="22"/>
    </row>
    <row r="28" spans="2:11" x14ac:dyDescent="0.25">
      <c r="B28" s="277">
        <v>46146</v>
      </c>
      <c r="C28" s="278" t="s">
        <v>231</v>
      </c>
      <c r="D28" s="104"/>
      <c r="E28" s="19"/>
      <c r="F28" s="228"/>
      <c r="G28" s="19"/>
      <c r="H28" s="282"/>
      <c r="I28" s="157"/>
      <c r="J28" s="126"/>
      <c r="K28" s="19"/>
    </row>
    <row r="29" spans="2:11" x14ac:dyDescent="0.25">
      <c r="B29" s="280"/>
      <c r="C29" s="278" t="s">
        <v>239</v>
      </c>
      <c r="D29" s="104">
        <f>'Greens Quantities '!C38</f>
        <v>0.71</v>
      </c>
      <c r="E29" s="19"/>
      <c r="F29" s="228"/>
      <c r="G29" s="19"/>
      <c r="H29" s="282"/>
      <c r="I29" s="157"/>
      <c r="J29" s="126"/>
      <c r="K29" s="100"/>
    </row>
    <row r="30" spans="2:11" x14ac:dyDescent="0.25">
      <c r="B30" s="280"/>
      <c r="C30" s="228"/>
      <c r="D30" s="104"/>
      <c r="E30" s="19"/>
      <c r="F30" s="228"/>
      <c r="G30" s="19"/>
      <c r="H30" s="228"/>
      <c r="I30" s="24"/>
      <c r="J30" s="24"/>
      <c r="K30" s="100"/>
    </row>
    <row r="31" spans="2:11" x14ac:dyDescent="0.25">
      <c r="B31" s="280">
        <v>46150</v>
      </c>
      <c r="C31" s="281" t="s">
        <v>21</v>
      </c>
      <c r="D31" s="104">
        <f>'Greens Quantities '!C5</f>
        <v>0.5</v>
      </c>
      <c r="E31" s="22">
        <v>2</v>
      </c>
      <c r="F31" s="282" t="s">
        <v>232</v>
      </c>
      <c r="G31" s="22" t="s">
        <v>22</v>
      </c>
      <c r="H31" s="282">
        <v>29</v>
      </c>
      <c r="I31" s="157" t="s">
        <v>230</v>
      </c>
      <c r="J31" s="153" t="s">
        <v>66</v>
      </c>
      <c r="K31" s="291"/>
    </row>
    <row r="32" spans="2:11" x14ac:dyDescent="0.25">
      <c r="B32" s="280"/>
      <c r="C32" s="299" t="s">
        <v>255</v>
      </c>
      <c r="D32" s="104">
        <f>'Greens Quantities '!C8</f>
        <v>1.9</v>
      </c>
      <c r="E32" s="22">
        <v>2</v>
      </c>
      <c r="F32" s="282" t="s">
        <v>256</v>
      </c>
      <c r="G32" s="22" t="s">
        <v>257</v>
      </c>
      <c r="H32" s="282">
        <v>33</v>
      </c>
      <c r="I32" s="157" t="s">
        <v>258</v>
      </c>
      <c r="J32" s="153" t="s">
        <v>66</v>
      </c>
      <c r="K32" s="300"/>
    </row>
    <row r="33" spans="2:11" x14ac:dyDescent="0.25">
      <c r="B33" s="22"/>
      <c r="C33" s="329" t="s">
        <v>250</v>
      </c>
      <c r="D33" s="279">
        <f>'Greens Quantities '!C41</f>
        <v>2.8000000000000001E-2</v>
      </c>
      <c r="E33" s="22">
        <v>2</v>
      </c>
      <c r="F33" s="282" t="s">
        <v>251</v>
      </c>
      <c r="G33" s="103" t="s">
        <v>252</v>
      </c>
      <c r="H33" s="282"/>
      <c r="I33" s="157"/>
      <c r="J33" s="157"/>
      <c r="K33" s="291"/>
    </row>
    <row r="34" spans="2:11" x14ac:dyDescent="0.25">
      <c r="B34" s="22"/>
      <c r="C34" s="228"/>
      <c r="D34" s="104"/>
      <c r="E34" s="19"/>
      <c r="F34" s="228"/>
      <c r="G34" s="103"/>
      <c r="H34" s="228"/>
      <c r="I34" s="24"/>
      <c r="J34" s="24"/>
      <c r="K34" s="291"/>
    </row>
    <row r="35" spans="2:11" x14ac:dyDescent="0.25">
      <c r="B35" s="280">
        <v>46153</v>
      </c>
      <c r="C35" s="278" t="s">
        <v>243</v>
      </c>
      <c r="D35" s="104">
        <f>'Greens Quantities '!C9</f>
        <v>0.6</v>
      </c>
      <c r="E35" s="22">
        <v>2</v>
      </c>
      <c r="F35" s="282" t="s">
        <v>244</v>
      </c>
      <c r="G35" s="22" t="s">
        <v>245</v>
      </c>
      <c r="H35" s="282">
        <v>21</v>
      </c>
      <c r="I35" s="24" t="s">
        <v>246</v>
      </c>
      <c r="J35" s="289" t="s">
        <v>26</v>
      </c>
      <c r="K35" s="291"/>
    </row>
    <row r="36" spans="2:11" x14ac:dyDescent="0.25">
      <c r="B36" s="280"/>
      <c r="C36" s="963" t="s">
        <v>32</v>
      </c>
      <c r="D36" s="103">
        <f>'Greens Quantities '!C37</f>
        <v>1.5</v>
      </c>
      <c r="E36" s="22">
        <v>2</v>
      </c>
      <c r="F36" s="282"/>
      <c r="G36" s="22"/>
      <c r="H36" s="282"/>
      <c r="I36" s="157"/>
      <c r="J36" s="126"/>
      <c r="K36" s="291"/>
    </row>
    <row r="37" spans="2:11" x14ac:dyDescent="0.25">
      <c r="B37" s="280"/>
      <c r="C37" s="963" t="s">
        <v>239</v>
      </c>
      <c r="D37" s="104">
        <f>'Greens Quantities '!C38</f>
        <v>0.71</v>
      </c>
      <c r="E37" s="22">
        <v>2</v>
      </c>
      <c r="F37" s="282"/>
      <c r="G37" s="22"/>
      <c r="H37" s="282"/>
      <c r="I37" s="157"/>
      <c r="J37" s="126"/>
      <c r="K37" s="306"/>
    </row>
    <row r="38" spans="2:11" x14ac:dyDescent="0.25">
      <c r="B38" s="280"/>
      <c r="C38" s="964" t="s">
        <v>259</v>
      </c>
      <c r="D38" s="302">
        <f>'Greens Quantities '!D26</f>
        <v>280</v>
      </c>
      <c r="E38" s="103">
        <v>2</v>
      </c>
      <c r="F38" s="303" t="s">
        <v>248</v>
      </c>
      <c r="G38" s="103" t="s">
        <v>260</v>
      </c>
      <c r="H38" s="303">
        <v>6</v>
      </c>
      <c r="I38" s="104"/>
      <c r="J38" s="942"/>
      <c r="K38" s="945"/>
    </row>
    <row r="39" spans="2:11" x14ac:dyDescent="0.25">
      <c r="B39" s="280"/>
      <c r="C39" s="964" t="s">
        <v>37</v>
      </c>
      <c r="D39" s="103">
        <f>'Greens Quantities '!D20</f>
        <v>280</v>
      </c>
      <c r="E39" s="943"/>
      <c r="F39" s="103" t="s">
        <v>261</v>
      </c>
      <c r="G39" s="103" t="s">
        <v>38</v>
      </c>
      <c r="H39" s="943">
        <v>28</v>
      </c>
      <c r="I39" s="943"/>
      <c r="J39" s="944"/>
      <c r="K39" s="12"/>
    </row>
    <row r="40" spans="2:11" x14ac:dyDescent="0.25">
      <c r="B40" s="280"/>
      <c r="C40" s="303"/>
      <c r="D40" s="104"/>
      <c r="E40" s="943"/>
      <c r="F40" s="303"/>
      <c r="G40" s="103"/>
      <c r="H40" s="970"/>
      <c r="I40" s="944"/>
      <c r="J40" s="944"/>
      <c r="K40" s="119"/>
    </row>
    <row r="41" spans="2:11" x14ac:dyDescent="0.25">
      <c r="B41" s="280">
        <v>46155</v>
      </c>
      <c r="C41" s="299" t="s">
        <v>262</v>
      </c>
      <c r="D41" s="104">
        <f>'Greens Quantities '!O4</f>
        <v>2</v>
      </c>
      <c r="E41" s="22">
        <v>2</v>
      </c>
      <c r="F41" s="282" t="s">
        <v>232</v>
      </c>
      <c r="G41" s="22" t="s">
        <v>40</v>
      </c>
      <c r="H41" s="282"/>
      <c r="I41" s="157"/>
      <c r="J41" s="126"/>
      <c r="K41" s="19" t="s">
        <v>263</v>
      </c>
    </row>
    <row r="42" spans="2:11" x14ac:dyDescent="0.25">
      <c r="B42" s="280"/>
      <c r="C42" s="299" t="s">
        <v>264</v>
      </c>
      <c r="D42" s="104">
        <f>'Greens Quantities '!O3</f>
        <v>6</v>
      </c>
      <c r="E42" s="22">
        <v>2</v>
      </c>
      <c r="F42" s="282"/>
      <c r="G42" s="22" t="s">
        <v>85</v>
      </c>
      <c r="H42" s="282"/>
      <c r="I42" s="157"/>
      <c r="J42" s="126"/>
      <c r="K42" s="119"/>
    </row>
    <row r="43" spans="2:11" x14ac:dyDescent="0.25">
      <c r="B43" s="280"/>
      <c r="C43" s="228"/>
      <c r="D43" s="104"/>
      <c r="E43" s="22"/>
      <c r="F43" s="282"/>
      <c r="G43" s="22"/>
      <c r="H43" s="282"/>
      <c r="I43" s="157"/>
      <c r="J43" s="126"/>
      <c r="K43" s="119"/>
    </row>
    <row r="44" spans="2:11" x14ac:dyDescent="0.25">
      <c r="B44" s="280">
        <v>46157</v>
      </c>
      <c r="C44" s="281" t="s">
        <v>255</v>
      </c>
      <c r="D44" s="104">
        <f>'Greens Quantities '!C8</f>
        <v>1.9</v>
      </c>
      <c r="E44" s="22">
        <v>2</v>
      </c>
      <c r="F44" s="282" t="s">
        <v>256</v>
      </c>
      <c r="G44" s="22" t="s">
        <v>257</v>
      </c>
      <c r="H44" s="282" t="s">
        <v>205</v>
      </c>
      <c r="I44" s="157" t="s">
        <v>230</v>
      </c>
      <c r="J44" s="153" t="s">
        <v>66</v>
      </c>
      <c r="K44" s="291"/>
    </row>
    <row r="45" spans="2:11" x14ac:dyDescent="0.25">
      <c r="B45" s="280"/>
      <c r="C45" s="281" t="s">
        <v>250</v>
      </c>
      <c r="D45" s="104">
        <f>'Greens Quantities '!C41</f>
        <v>2.8000000000000001E-2</v>
      </c>
      <c r="E45" s="22">
        <v>2</v>
      </c>
      <c r="F45" s="282"/>
      <c r="G45" s="22" t="s">
        <v>252</v>
      </c>
      <c r="H45" s="282"/>
      <c r="I45" s="157"/>
      <c r="J45" s="24"/>
      <c r="K45" s="291"/>
    </row>
    <row r="46" spans="2:11" x14ac:dyDescent="0.25">
      <c r="B46" s="280"/>
      <c r="C46" s="228"/>
      <c r="D46" s="104"/>
      <c r="E46" s="22"/>
      <c r="F46" s="282"/>
      <c r="G46" s="22"/>
      <c r="H46" s="282"/>
      <c r="I46" s="157"/>
      <c r="J46" s="24"/>
      <c r="K46" s="291"/>
    </row>
    <row r="47" spans="2:11" x14ac:dyDescent="0.25">
      <c r="B47" s="280">
        <v>46160</v>
      </c>
      <c r="C47" s="278" t="s">
        <v>231</v>
      </c>
      <c r="D47" s="104"/>
      <c r="E47" s="22"/>
      <c r="F47" s="282"/>
      <c r="G47" s="22"/>
      <c r="H47" s="282"/>
      <c r="I47" s="157"/>
      <c r="J47" s="126"/>
      <c r="K47" s="291"/>
    </row>
    <row r="48" spans="2:11" x14ac:dyDescent="0.25">
      <c r="B48" s="280"/>
      <c r="C48" s="278" t="s">
        <v>239</v>
      </c>
      <c r="D48" s="104">
        <f>'Greens Quantities '!C38</f>
        <v>0.71</v>
      </c>
      <c r="E48" s="22">
        <v>2</v>
      </c>
      <c r="F48" s="282"/>
      <c r="G48" s="22"/>
      <c r="H48" s="282"/>
      <c r="I48" s="157"/>
      <c r="J48" s="126"/>
      <c r="K48" s="19"/>
    </row>
    <row r="49" spans="2:11" x14ac:dyDescent="0.25">
      <c r="B49" s="280"/>
      <c r="C49" s="228"/>
      <c r="D49" s="104"/>
      <c r="E49" s="22"/>
      <c r="F49" s="282"/>
      <c r="G49" s="22"/>
      <c r="H49" s="282"/>
      <c r="I49" s="157"/>
      <c r="J49" s="126"/>
      <c r="K49" s="19"/>
    </row>
    <row r="50" spans="2:11" x14ac:dyDescent="0.25">
      <c r="B50" s="280">
        <v>46164</v>
      </c>
      <c r="C50" s="281" t="s">
        <v>21</v>
      </c>
      <c r="D50" s="104">
        <f>'Greens Quantities '!C5</f>
        <v>0.5</v>
      </c>
      <c r="E50" s="22">
        <v>2</v>
      </c>
      <c r="F50" s="282" t="s">
        <v>232</v>
      </c>
      <c r="G50" s="22" t="s">
        <v>22</v>
      </c>
      <c r="H50" s="282">
        <v>29</v>
      </c>
      <c r="I50" s="157" t="s">
        <v>230</v>
      </c>
      <c r="J50" s="153" t="s">
        <v>66</v>
      </c>
      <c r="K50" s="19"/>
    </row>
    <row r="51" spans="2:11" x14ac:dyDescent="0.25">
      <c r="B51" s="19"/>
      <c r="C51" s="281" t="s">
        <v>240</v>
      </c>
      <c r="D51" s="104">
        <f>'Greens Quantities '!C6</f>
        <v>4</v>
      </c>
      <c r="E51" s="19">
        <v>2</v>
      </c>
      <c r="F51" s="228" t="s">
        <v>265</v>
      </c>
      <c r="G51" s="19" t="s">
        <v>68</v>
      </c>
      <c r="H51" s="228">
        <v>2</v>
      </c>
      <c r="I51" s="24" t="s">
        <v>246</v>
      </c>
      <c r="J51" s="289" t="s">
        <v>26</v>
      </c>
      <c r="K51" s="300"/>
    </row>
    <row r="52" spans="2:11" x14ac:dyDescent="0.25">
      <c r="B52" s="22"/>
      <c r="C52" s="329" t="s">
        <v>250</v>
      </c>
      <c r="D52" s="279">
        <f>'Greens Quantities '!C41</f>
        <v>2.8000000000000001E-2</v>
      </c>
      <c r="E52" s="22">
        <v>2</v>
      </c>
      <c r="F52" s="282" t="s">
        <v>251</v>
      </c>
      <c r="G52" s="103" t="s">
        <v>252</v>
      </c>
      <c r="H52" s="282"/>
      <c r="I52" s="157"/>
      <c r="J52" s="157"/>
      <c r="K52" s="100"/>
    </row>
    <row r="53" spans="2:11" x14ac:dyDescent="0.25">
      <c r="B53" s="12"/>
      <c r="C53" s="299" t="s">
        <v>255</v>
      </c>
      <c r="D53" s="104">
        <f>'Greens Quantities '!C8</f>
        <v>1.9</v>
      </c>
      <c r="E53" s="19">
        <v>2</v>
      </c>
      <c r="F53" s="228" t="s">
        <v>256</v>
      </c>
      <c r="G53" s="19" t="s">
        <v>257</v>
      </c>
      <c r="H53" s="228">
        <v>33</v>
      </c>
      <c r="I53" s="24" t="s">
        <v>242</v>
      </c>
      <c r="J53" s="153" t="s">
        <v>66</v>
      </c>
      <c r="K53" s="12"/>
    </row>
    <row r="54" spans="2:11" x14ac:dyDescent="0.25">
      <c r="B54" s="12"/>
      <c r="C54" s="228"/>
      <c r="D54" s="104"/>
      <c r="E54" s="19"/>
      <c r="F54" s="228"/>
      <c r="G54" s="19"/>
      <c r="H54" s="228"/>
      <c r="I54" s="24"/>
      <c r="J54" s="153"/>
      <c r="K54" s="123"/>
    </row>
    <row r="55" spans="2:11" x14ac:dyDescent="0.25">
      <c r="B55" s="280">
        <v>46167</v>
      </c>
      <c r="C55" s="278" t="s">
        <v>266</v>
      </c>
      <c r="D55" s="104">
        <f>'Greens Quantities '!C10</f>
        <v>0.85</v>
      </c>
      <c r="E55" s="19">
        <v>2</v>
      </c>
      <c r="F55" s="228" t="s">
        <v>232</v>
      </c>
      <c r="G55" s="22" t="s">
        <v>267</v>
      </c>
      <c r="H55" s="282" t="s">
        <v>49</v>
      </c>
      <c r="I55" s="24" t="s">
        <v>258</v>
      </c>
      <c r="J55" s="289" t="s">
        <v>26</v>
      </c>
      <c r="K55" s="119" t="s">
        <v>268</v>
      </c>
    </row>
    <row r="56" spans="2:11" x14ac:dyDescent="0.25">
      <c r="B56" s="19"/>
      <c r="C56" s="963" t="s">
        <v>32</v>
      </c>
      <c r="D56" s="103">
        <f>'Greens Quantities '!C37</f>
        <v>1.5</v>
      </c>
      <c r="E56" s="22">
        <v>2</v>
      </c>
      <c r="F56" s="228"/>
      <c r="G56" s="22"/>
      <c r="H56" s="282"/>
      <c r="I56" s="24"/>
      <c r="J56" s="126"/>
      <c r="K56" s="19"/>
    </row>
    <row r="57" spans="2:11" x14ac:dyDescent="0.25">
      <c r="B57" s="19"/>
      <c r="C57" s="355" t="s">
        <v>239</v>
      </c>
      <c r="D57" s="104">
        <f>'Greens Quantities '!C38</f>
        <v>0.71</v>
      </c>
      <c r="E57" s="22">
        <v>2</v>
      </c>
      <c r="F57" s="228"/>
      <c r="G57" s="22"/>
      <c r="H57" s="282"/>
      <c r="I57" s="24"/>
      <c r="J57" s="126"/>
      <c r="K57" s="19"/>
    </row>
    <row r="58" spans="2:11" x14ac:dyDescent="0.25">
      <c r="B58" s="19"/>
      <c r="C58" s="228"/>
      <c r="D58" s="104"/>
      <c r="E58" s="19"/>
      <c r="F58" s="228"/>
      <c r="G58" s="19"/>
      <c r="H58" s="228"/>
      <c r="I58" s="24"/>
      <c r="J58" s="24"/>
      <c r="K58" s="19"/>
    </row>
    <row r="59" spans="2:11" x14ac:dyDescent="0.25">
      <c r="B59" s="280">
        <v>46169</v>
      </c>
      <c r="C59" s="299" t="s">
        <v>262</v>
      </c>
      <c r="D59" s="104">
        <f>'Greens Quantities '!O4</f>
        <v>2</v>
      </c>
      <c r="E59" s="22">
        <v>2</v>
      </c>
      <c r="F59" s="228"/>
      <c r="G59" s="22" t="s">
        <v>40</v>
      </c>
      <c r="H59" s="282"/>
      <c r="I59" s="24"/>
      <c r="J59" s="126"/>
      <c r="K59" s="19" t="s">
        <v>263</v>
      </c>
    </row>
    <row r="60" spans="2:11" x14ac:dyDescent="0.25">
      <c r="B60" s="19"/>
      <c r="C60" s="299" t="s">
        <v>264</v>
      </c>
      <c r="D60" s="104">
        <f>'Greens Quantities '!O3</f>
        <v>6</v>
      </c>
      <c r="E60" s="22">
        <v>2</v>
      </c>
      <c r="F60" s="228"/>
      <c r="G60" s="22" t="s">
        <v>85</v>
      </c>
      <c r="H60" s="282"/>
      <c r="I60" s="24"/>
      <c r="J60" s="126"/>
      <c r="K60" s="19"/>
    </row>
    <row r="61" spans="2:11" x14ac:dyDescent="0.25">
      <c r="B61" s="19"/>
      <c r="C61" s="228"/>
      <c r="D61" s="104"/>
      <c r="E61" s="19"/>
      <c r="F61" s="228"/>
      <c r="G61" s="19"/>
      <c r="H61" s="228"/>
      <c r="I61" s="24"/>
      <c r="J61" s="24"/>
      <c r="K61" s="19"/>
    </row>
    <row r="62" spans="2:11" x14ac:dyDescent="0.25">
      <c r="B62" s="280">
        <v>46171</v>
      </c>
      <c r="C62" s="299" t="s">
        <v>255</v>
      </c>
      <c r="D62" s="104">
        <f>'Greens Quantities '!C8</f>
        <v>1.9</v>
      </c>
      <c r="E62" s="22">
        <v>2</v>
      </c>
      <c r="F62" s="282" t="s">
        <v>256</v>
      </c>
      <c r="G62" s="22" t="s">
        <v>257</v>
      </c>
      <c r="H62" s="282">
        <v>33</v>
      </c>
      <c r="I62" s="157" t="s">
        <v>258</v>
      </c>
      <c r="J62" s="153" t="s">
        <v>66</v>
      </c>
      <c r="K62" s="300"/>
    </row>
    <row r="63" spans="2:11" x14ac:dyDescent="0.25">
      <c r="B63" s="19"/>
      <c r="C63" s="329" t="s">
        <v>250</v>
      </c>
      <c r="D63" s="279">
        <f>'Greens Quantities '!C41</f>
        <v>2.8000000000000001E-2</v>
      </c>
      <c r="E63" s="22">
        <v>2</v>
      </c>
      <c r="F63" s="282" t="s">
        <v>251</v>
      </c>
      <c r="G63" s="103" t="s">
        <v>252</v>
      </c>
      <c r="H63" s="282"/>
      <c r="I63" s="157"/>
      <c r="J63" s="157"/>
      <c r="K63" s="19"/>
    </row>
    <row r="64" spans="2:11" x14ac:dyDescent="0.25">
      <c r="B64" s="22"/>
      <c r="C64" s="293" t="s">
        <v>64</v>
      </c>
      <c r="D64" s="104">
        <f>'Greens Quantities '!C28</f>
        <v>0.73499999999999999</v>
      </c>
      <c r="E64" s="22">
        <v>2</v>
      </c>
      <c r="F64" s="282" t="s">
        <v>253</v>
      </c>
      <c r="G64" s="22" t="s">
        <v>269</v>
      </c>
      <c r="H64" s="282"/>
      <c r="I64" s="157"/>
      <c r="J64" s="24"/>
      <c r="K64" s="22" t="s">
        <v>254</v>
      </c>
    </row>
    <row r="65" spans="2:11" x14ac:dyDescent="0.25">
      <c r="B65" s="304"/>
      <c r="C65" s="947" t="s">
        <v>14</v>
      </c>
      <c r="D65" s="104">
        <f>'Greens Quantities '!C33</f>
        <v>0.125</v>
      </c>
      <c r="E65" s="22">
        <v>2</v>
      </c>
      <c r="F65" s="282" t="s">
        <v>270</v>
      </c>
      <c r="G65" s="22" t="s">
        <v>271</v>
      </c>
      <c r="H65" s="282"/>
      <c r="I65" s="157"/>
      <c r="J65" s="24"/>
      <c r="K65" s="12"/>
    </row>
    <row r="66" spans="2:11" x14ac:dyDescent="0.25">
      <c r="B66" s="304"/>
      <c r="C66" s="947" t="s">
        <v>50</v>
      </c>
      <c r="D66" s="104">
        <f>'Greens Quantities '!C34</f>
        <v>0.125</v>
      </c>
      <c r="E66" s="22">
        <v>2</v>
      </c>
      <c r="F66" s="282" t="s">
        <v>270</v>
      </c>
      <c r="G66" s="22" t="s">
        <v>272</v>
      </c>
      <c r="H66" s="282"/>
      <c r="I66" s="157"/>
      <c r="J66" s="24"/>
      <c r="K66" s="123"/>
    </row>
    <row r="67" spans="2:11" x14ac:dyDescent="0.25">
      <c r="B67" s="893"/>
      <c r="C67" s="1006"/>
      <c r="D67" s="1007"/>
      <c r="E67" s="893"/>
      <c r="F67" s="1006"/>
      <c r="G67" s="893"/>
      <c r="H67" s="1006"/>
      <c r="I67" s="907"/>
      <c r="J67" s="907"/>
      <c r="K67" s="1008"/>
    </row>
    <row r="68" spans="2:11" x14ac:dyDescent="0.25">
      <c r="B68" s="280">
        <v>46174</v>
      </c>
      <c r="C68" s="278" t="s">
        <v>231</v>
      </c>
      <c r="D68" s="104"/>
      <c r="E68" s="22"/>
      <c r="F68" s="282"/>
      <c r="G68" s="22"/>
      <c r="H68" s="282"/>
      <c r="I68" s="157"/>
      <c r="J68" s="126"/>
      <c r="K68" s="22"/>
    </row>
    <row r="69" spans="2:11" x14ac:dyDescent="0.25">
      <c r="B69" s="280"/>
      <c r="C69" s="278" t="s">
        <v>239</v>
      </c>
      <c r="D69" s="104">
        <f>'Greens Quantities '!C38</f>
        <v>0.71</v>
      </c>
      <c r="E69" s="22">
        <v>2</v>
      </c>
      <c r="F69" s="282"/>
      <c r="G69" s="22"/>
      <c r="H69" s="282"/>
      <c r="I69" s="157"/>
      <c r="J69" s="126"/>
      <c r="K69" s="22"/>
    </row>
    <row r="70" spans="2:11" x14ac:dyDescent="0.25">
      <c r="B70" s="280"/>
      <c r="C70" s="228"/>
      <c r="D70" s="104"/>
      <c r="E70" s="22"/>
      <c r="F70" s="282"/>
      <c r="G70" s="22"/>
      <c r="H70" s="282"/>
      <c r="I70" s="157"/>
      <c r="J70" s="126"/>
      <c r="K70" s="22"/>
    </row>
    <row r="71" spans="2:11" x14ac:dyDescent="0.25">
      <c r="B71" s="305">
        <v>46178</v>
      </c>
      <c r="C71" s="281" t="s">
        <v>21</v>
      </c>
      <c r="D71" s="104">
        <f>'Greens Quantities '!C5</f>
        <v>0.5</v>
      </c>
      <c r="E71" s="22">
        <v>2</v>
      </c>
      <c r="F71" s="282" t="s">
        <v>232</v>
      </c>
      <c r="G71" s="22" t="s">
        <v>22</v>
      </c>
      <c r="H71" s="282">
        <v>29</v>
      </c>
      <c r="I71" s="157" t="s">
        <v>230</v>
      </c>
      <c r="J71" s="153" t="s">
        <v>66</v>
      </c>
      <c r="K71" s="22"/>
    </row>
    <row r="72" spans="2:11" x14ac:dyDescent="0.25">
      <c r="B72" s="12"/>
      <c r="C72" s="299" t="s">
        <v>255</v>
      </c>
      <c r="D72" s="104">
        <f>'Greens Quantities '!C8</f>
        <v>1.9</v>
      </c>
      <c r="E72" s="19">
        <v>2</v>
      </c>
      <c r="F72" s="228" t="s">
        <v>256</v>
      </c>
      <c r="G72" s="119" t="s">
        <v>257</v>
      </c>
      <c r="H72" s="228">
        <v>33</v>
      </c>
      <c r="I72" s="24" t="s">
        <v>258</v>
      </c>
      <c r="J72" s="153" t="s">
        <v>66</v>
      </c>
      <c r="K72" s="959"/>
    </row>
    <row r="73" spans="2:11" x14ac:dyDescent="0.25">
      <c r="B73" s="19"/>
      <c r="C73" s="329" t="s">
        <v>250</v>
      </c>
      <c r="D73" s="279">
        <f>'Greens Quantities '!C41</f>
        <v>2.8000000000000001E-2</v>
      </c>
      <c r="E73" s="22">
        <v>2</v>
      </c>
      <c r="F73" s="282" t="s">
        <v>251</v>
      </c>
      <c r="G73" s="103" t="s">
        <v>252</v>
      </c>
      <c r="H73" s="282"/>
      <c r="I73" s="157"/>
      <c r="J73" s="157"/>
      <c r="K73" s="19"/>
    </row>
    <row r="74" spans="2:11" x14ac:dyDescent="0.25">
      <c r="B74" s="12"/>
      <c r="C74" s="947" t="s">
        <v>14</v>
      </c>
      <c r="D74" s="104">
        <f>'Greens Quantities '!C33</f>
        <v>0.125</v>
      </c>
      <c r="E74" s="306">
        <v>2</v>
      </c>
      <c r="F74" s="307" t="s">
        <v>270</v>
      </c>
      <c r="G74" s="306" t="s">
        <v>271</v>
      </c>
      <c r="H74" s="228"/>
      <c r="I74" s="24"/>
      <c r="J74" s="153"/>
      <c r="K74" s="291"/>
    </row>
    <row r="75" spans="2:11" x14ac:dyDescent="0.25">
      <c r="B75" s="12"/>
      <c r="C75" s="947" t="s">
        <v>50</v>
      </c>
      <c r="D75" s="104">
        <f>'Greens Quantities '!C34</f>
        <v>0.125</v>
      </c>
      <c r="E75" s="22">
        <v>2</v>
      </c>
      <c r="F75" s="282" t="s">
        <v>270</v>
      </c>
      <c r="G75" s="22" t="s">
        <v>272</v>
      </c>
      <c r="H75" s="228"/>
      <c r="I75" s="24"/>
      <c r="J75" s="153"/>
      <c r="K75" s="291"/>
    </row>
    <row r="76" spans="2:11" x14ac:dyDescent="0.25">
      <c r="B76" s="12"/>
      <c r="C76" s="228"/>
      <c r="D76" s="104"/>
      <c r="E76" s="306"/>
      <c r="F76" s="307"/>
      <c r="G76" s="306"/>
      <c r="H76" s="228"/>
      <c r="I76" s="24"/>
      <c r="J76" s="24"/>
      <c r="K76" s="291"/>
    </row>
    <row r="77" spans="2:11" x14ac:dyDescent="0.25">
      <c r="B77" s="280">
        <v>46181</v>
      </c>
      <c r="C77" s="278" t="s">
        <v>243</v>
      </c>
      <c r="D77" s="104">
        <f>'Greens Quantities '!C9</f>
        <v>0.6</v>
      </c>
      <c r="E77" s="22">
        <v>2</v>
      </c>
      <c r="F77" s="282" t="s">
        <v>244</v>
      </c>
      <c r="G77" s="22" t="s">
        <v>245</v>
      </c>
      <c r="H77" s="282">
        <v>21</v>
      </c>
      <c r="I77" s="24" t="s">
        <v>246</v>
      </c>
      <c r="J77" s="289" t="s">
        <v>26</v>
      </c>
      <c r="K77" s="19"/>
    </row>
    <row r="78" spans="2:11" x14ac:dyDescent="0.25">
      <c r="B78" s="280"/>
      <c r="C78" s="963" t="s">
        <v>32</v>
      </c>
      <c r="D78" s="103">
        <f>'Greens Quantities '!C37</f>
        <v>1.5</v>
      </c>
      <c r="E78" s="22">
        <v>2</v>
      </c>
      <c r="F78" s="228"/>
      <c r="G78" s="119"/>
      <c r="H78" s="228"/>
      <c r="I78" s="24"/>
      <c r="J78" s="153"/>
      <c r="K78" s="19"/>
    </row>
    <row r="79" spans="2:11" x14ac:dyDescent="0.25">
      <c r="B79" s="280"/>
      <c r="C79" s="729" t="s">
        <v>239</v>
      </c>
      <c r="D79" s="274">
        <f>'Greens Quantities '!C38</f>
        <v>0.71</v>
      </c>
      <c r="E79" s="310">
        <v>2</v>
      </c>
      <c r="F79" s="227"/>
      <c r="G79" s="119"/>
      <c r="H79" s="227"/>
      <c r="I79" s="120"/>
      <c r="J79" s="120"/>
      <c r="K79" s="19"/>
    </row>
    <row r="80" spans="2:11" x14ac:dyDescent="0.25">
      <c r="B80" s="280"/>
      <c r="C80" s="227"/>
      <c r="D80" s="274"/>
      <c r="E80" s="119"/>
      <c r="F80" s="227"/>
      <c r="G80" s="119"/>
      <c r="H80" s="227"/>
      <c r="I80" s="120"/>
      <c r="J80" s="120"/>
      <c r="K80" s="119"/>
    </row>
    <row r="81" spans="2:11" x14ac:dyDescent="0.25">
      <c r="B81" s="280">
        <v>46183</v>
      </c>
      <c r="C81" s="946" t="s">
        <v>262</v>
      </c>
      <c r="D81" s="274">
        <f>'Greens Quantities '!O4</f>
        <v>2</v>
      </c>
      <c r="E81" s="310">
        <v>2</v>
      </c>
      <c r="F81" s="227"/>
      <c r="G81" s="119" t="s">
        <v>40</v>
      </c>
      <c r="H81" s="227"/>
      <c r="I81" s="120"/>
      <c r="J81" s="120"/>
      <c r="K81" s="119" t="s">
        <v>263</v>
      </c>
    </row>
    <row r="82" spans="2:11" x14ac:dyDescent="0.25">
      <c r="B82" s="280"/>
      <c r="C82" s="946" t="s">
        <v>264</v>
      </c>
      <c r="D82" s="274">
        <f>'Greens Quantities '!O3</f>
        <v>6</v>
      </c>
      <c r="E82" s="310">
        <v>2</v>
      </c>
      <c r="F82" s="227"/>
      <c r="G82" s="119" t="s">
        <v>85</v>
      </c>
      <c r="H82" s="227"/>
      <c r="I82" s="120"/>
      <c r="J82" s="120"/>
      <c r="K82" s="119"/>
    </row>
    <row r="83" spans="2:11" x14ac:dyDescent="0.25">
      <c r="B83" s="280"/>
      <c r="C83" s="227"/>
      <c r="D83" s="274"/>
      <c r="E83" s="119"/>
      <c r="F83" s="227"/>
      <c r="G83" s="119"/>
      <c r="H83" s="227"/>
      <c r="I83" s="120"/>
      <c r="J83" s="120"/>
      <c r="K83" s="119"/>
    </row>
    <row r="84" spans="2:11" x14ac:dyDescent="0.25">
      <c r="B84" s="280">
        <v>46185</v>
      </c>
      <c r="C84" s="329" t="s">
        <v>250</v>
      </c>
      <c r="D84" s="279">
        <f>'Greens Quantities '!C41</f>
        <v>2.8000000000000001E-2</v>
      </c>
      <c r="E84" s="22">
        <v>2</v>
      </c>
      <c r="F84" s="282" t="s">
        <v>251</v>
      </c>
      <c r="G84" s="103" t="s">
        <v>252</v>
      </c>
      <c r="H84" s="282"/>
      <c r="I84" s="157"/>
      <c r="J84" s="157"/>
      <c r="K84" s="19"/>
    </row>
    <row r="85" spans="2:11" x14ac:dyDescent="0.25">
      <c r="B85" s="12"/>
      <c r="C85" s="299" t="s">
        <v>255</v>
      </c>
      <c r="D85" s="104">
        <f>'Greens Quantities '!C8</f>
        <v>1.9</v>
      </c>
      <c r="E85" s="22">
        <v>2</v>
      </c>
      <c r="F85" s="282" t="s">
        <v>256</v>
      </c>
      <c r="G85" s="22" t="s">
        <v>257</v>
      </c>
      <c r="H85" s="282">
        <v>33</v>
      </c>
      <c r="I85" s="157" t="s">
        <v>258</v>
      </c>
      <c r="J85" s="153" t="s">
        <v>66</v>
      </c>
      <c r="K85" s="100"/>
    </row>
    <row r="86" spans="2:11" x14ac:dyDescent="0.25">
      <c r="B86" s="12"/>
      <c r="C86" s="947" t="s">
        <v>14</v>
      </c>
      <c r="D86" s="104">
        <f>'Greens Quantities '!C33</f>
        <v>0.125</v>
      </c>
      <c r="E86" s="306">
        <v>2</v>
      </c>
      <c r="F86" s="307" t="s">
        <v>270</v>
      </c>
      <c r="G86" s="306" t="s">
        <v>271</v>
      </c>
      <c r="H86" s="314"/>
      <c r="I86" s="315"/>
      <c r="J86" s="316"/>
      <c r="K86" s="12"/>
    </row>
    <row r="87" spans="2:11" x14ac:dyDescent="0.25">
      <c r="B87" s="12"/>
      <c r="C87" s="947" t="s">
        <v>50</v>
      </c>
      <c r="D87" s="104">
        <f>'Greens Quantities '!C34</f>
        <v>0.125</v>
      </c>
      <c r="E87" s="22">
        <v>2</v>
      </c>
      <c r="F87" s="282" t="s">
        <v>270</v>
      </c>
      <c r="G87" s="22" t="s">
        <v>272</v>
      </c>
      <c r="H87" s="314"/>
      <c r="I87" s="315"/>
      <c r="J87" s="316"/>
      <c r="K87" s="123"/>
    </row>
    <row r="88" spans="2:11" x14ac:dyDescent="0.25">
      <c r="B88" s="12"/>
      <c r="C88" s="228"/>
      <c r="D88" s="104"/>
      <c r="E88" s="103"/>
      <c r="F88" s="303"/>
      <c r="G88" s="103"/>
      <c r="H88" s="229"/>
      <c r="I88" s="101"/>
      <c r="J88" s="101"/>
      <c r="K88" s="123"/>
    </row>
    <row r="89" spans="2:11" x14ac:dyDescent="0.25">
      <c r="B89" s="280">
        <v>46188</v>
      </c>
      <c r="C89" s="317" t="s">
        <v>16</v>
      </c>
      <c r="D89" s="104">
        <f>'Greens Quantities '!C12</f>
        <v>0.19600000000000001</v>
      </c>
      <c r="E89" s="103">
        <v>2</v>
      </c>
      <c r="F89" s="303" t="s">
        <v>232</v>
      </c>
      <c r="G89" s="103" t="s">
        <v>17</v>
      </c>
      <c r="H89" s="303">
        <v>3</v>
      </c>
      <c r="I89" s="104" t="s">
        <v>242</v>
      </c>
      <c r="J89" s="318" t="s">
        <v>19</v>
      </c>
      <c r="K89" s="310" t="s">
        <v>18</v>
      </c>
    </row>
    <row r="90" spans="2:11" x14ac:dyDescent="0.25">
      <c r="B90" s="280"/>
      <c r="C90" s="317" t="s">
        <v>239</v>
      </c>
      <c r="D90" s="104">
        <f>'Greens Quantities '!C38</f>
        <v>0.71</v>
      </c>
      <c r="E90" s="103">
        <v>2</v>
      </c>
      <c r="F90" s="303"/>
      <c r="G90" s="103"/>
      <c r="H90" s="303"/>
      <c r="I90" s="104"/>
      <c r="J90" s="24"/>
      <c r="K90" s="22"/>
    </row>
    <row r="91" spans="2:11" x14ac:dyDescent="0.25">
      <c r="B91" s="103"/>
      <c r="C91" s="319" t="s">
        <v>259</v>
      </c>
      <c r="D91" s="302">
        <f>'Greens Quantities '!C30</f>
        <v>0.14348025711662074</v>
      </c>
      <c r="E91" s="103">
        <v>2</v>
      </c>
      <c r="F91" s="303" t="s">
        <v>248</v>
      </c>
      <c r="G91" s="103" t="s">
        <v>260</v>
      </c>
      <c r="H91" s="303">
        <v>6</v>
      </c>
      <c r="I91" s="104"/>
      <c r="J91" s="126"/>
      <c r="K91" s="19"/>
    </row>
    <row r="92" spans="2:11" x14ac:dyDescent="0.25">
      <c r="B92" s="103"/>
      <c r="C92" s="303"/>
      <c r="D92" s="302"/>
      <c r="E92" s="103"/>
      <c r="F92" s="303"/>
      <c r="G92" s="103"/>
      <c r="H92" s="303"/>
      <c r="I92" s="104"/>
      <c r="J92" s="24"/>
      <c r="K92" s="19"/>
    </row>
    <row r="93" spans="2:11" x14ac:dyDescent="0.25">
      <c r="B93" s="280">
        <v>46192</v>
      </c>
      <c r="C93" s="281" t="s">
        <v>21</v>
      </c>
      <c r="D93" s="104">
        <f>'Greens Quantities '!C5</f>
        <v>0.5</v>
      </c>
      <c r="E93" s="22">
        <v>2</v>
      </c>
      <c r="F93" s="282" t="s">
        <v>232</v>
      </c>
      <c r="G93" s="22" t="s">
        <v>22</v>
      </c>
      <c r="H93" s="282">
        <v>29</v>
      </c>
      <c r="I93" s="157" t="s">
        <v>230</v>
      </c>
      <c r="J93" s="153" t="s">
        <v>66</v>
      </c>
      <c r="K93" s="19"/>
    </row>
    <row r="94" spans="2:11" x14ac:dyDescent="0.25">
      <c r="B94" s="12"/>
      <c r="C94" s="299" t="s">
        <v>255</v>
      </c>
      <c r="D94" s="320">
        <f>'Greens Quantities '!C8</f>
        <v>1.9</v>
      </c>
      <c r="E94" s="315">
        <v>2</v>
      </c>
      <c r="F94" s="22" t="s">
        <v>256</v>
      </c>
      <c r="G94" s="22" t="s">
        <v>257</v>
      </c>
      <c r="H94" s="22">
        <v>33</v>
      </c>
      <c r="I94" s="22" t="s">
        <v>258</v>
      </c>
      <c r="J94" s="321" t="s">
        <v>66</v>
      </c>
      <c r="K94" s="300"/>
    </row>
    <row r="95" spans="2:11" x14ac:dyDescent="0.25">
      <c r="B95" s="22"/>
      <c r="C95" s="329" t="s">
        <v>250</v>
      </c>
      <c r="D95" s="279">
        <f>'Greens Quantities '!C41</f>
        <v>2.8000000000000001E-2</v>
      </c>
      <c r="E95" s="22">
        <v>2</v>
      </c>
      <c r="F95" s="282" t="s">
        <v>251</v>
      </c>
      <c r="G95" s="103" t="s">
        <v>252</v>
      </c>
      <c r="H95" s="282"/>
      <c r="I95" s="157"/>
      <c r="J95" s="157"/>
      <c r="K95" s="100"/>
    </row>
    <row r="96" spans="2:11" x14ac:dyDescent="0.25">
      <c r="B96" s="12"/>
      <c r="C96" s="947" t="s">
        <v>14</v>
      </c>
      <c r="D96" s="104">
        <f>'Greens Quantities '!C33</f>
        <v>0.125</v>
      </c>
      <c r="E96" s="306">
        <v>2</v>
      </c>
      <c r="F96" s="307" t="s">
        <v>270</v>
      </c>
      <c r="G96" s="22" t="s">
        <v>271</v>
      </c>
      <c r="H96" s="22"/>
      <c r="I96" s="22"/>
      <c r="J96" s="322"/>
      <c r="K96" s="19"/>
    </row>
    <row r="97" spans="2:11" x14ac:dyDescent="0.25">
      <c r="B97" s="12"/>
      <c r="C97" s="947" t="s">
        <v>50</v>
      </c>
      <c r="D97" s="104">
        <f>'Greens Quantities '!C34</f>
        <v>0.125</v>
      </c>
      <c r="E97" s="22">
        <v>2</v>
      </c>
      <c r="F97" s="282" t="s">
        <v>270</v>
      </c>
      <c r="G97" s="22" t="s">
        <v>272</v>
      </c>
      <c r="H97" s="22"/>
      <c r="I97" s="22"/>
      <c r="J97" s="322"/>
      <c r="K97" s="119"/>
    </row>
    <row r="98" spans="2:11" x14ac:dyDescent="0.25">
      <c r="B98" s="12"/>
      <c r="C98" s="358"/>
      <c r="D98" s="320"/>
      <c r="E98" s="320"/>
      <c r="F98" s="303"/>
      <c r="G98" s="19"/>
      <c r="H98" s="19"/>
      <c r="I98" s="19"/>
      <c r="J98" s="227"/>
      <c r="K98" s="119"/>
    </row>
    <row r="99" spans="2:11" x14ac:dyDescent="0.25">
      <c r="B99" s="280">
        <v>46195</v>
      </c>
      <c r="C99" s="941" t="s">
        <v>273</v>
      </c>
      <c r="D99" s="320">
        <f>'Greens Quantities '!C14</f>
        <v>0.6</v>
      </c>
      <c r="E99" s="315">
        <v>2</v>
      </c>
      <c r="F99" s="103" t="s">
        <v>274</v>
      </c>
      <c r="G99" s="103" t="s">
        <v>275</v>
      </c>
      <c r="H99" s="103" t="s">
        <v>276</v>
      </c>
      <c r="I99" s="161"/>
      <c r="J99" s="324"/>
      <c r="K99" s="119"/>
    </row>
    <row r="100" spans="2:11" x14ac:dyDescent="0.25">
      <c r="B100" s="19"/>
      <c r="C100" s="963" t="s">
        <v>32</v>
      </c>
      <c r="D100" s="103">
        <f>'Greens Quantities '!C37</f>
        <v>1.5</v>
      </c>
      <c r="E100" s="22">
        <v>2</v>
      </c>
      <c r="F100" s="237"/>
      <c r="G100" s="325"/>
      <c r="H100" s="326"/>
      <c r="I100" s="104"/>
      <c r="J100" s="126"/>
      <c r="K100" s="119"/>
    </row>
    <row r="101" spans="2:11" x14ac:dyDescent="0.25">
      <c r="B101" s="19"/>
      <c r="C101" s="355" t="s">
        <v>239</v>
      </c>
      <c r="D101" s="103">
        <f>'Greens Quantities '!C38</f>
        <v>0.71</v>
      </c>
      <c r="E101" s="22">
        <v>2</v>
      </c>
      <c r="F101" s="237"/>
      <c r="G101" s="325"/>
      <c r="H101" s="326"/>
      <c r="I101" s="104"/>
      <c r="J101" s="126"/>
      <c r="K101" s="119"/>
    </row>
    <row r="102" spans="2:11" x14ac:dyDescent="0.25">
      <c r="B102" s="19"/>
      <c r="C102" s="293" t="s">
        <v>69</v>
      </c>
      <c r="D102" s="306">
        <f>'Greens Quantities '!C26</f>
        <v>0.37</v>
      </c>
      <c r="E102" s="22">
        <v>2</v>
      </c>
      <c r="F102" s="157" t="s">
        <v>253</v>
      </c>
      <c r="G102" s="128" t="s">
        <v>70</v>
      </c>
      <c r="H102" s="282"/>
      <c r="I102" s="157"/>
      <c r="J102" s="129"/>
      <c r="K102" s="22" t="s">
        <v>254</v>
      </c>
    </row>
    <row r="103" spans="2:11" x14ac:dyDescent="0.25">
      <c r="B103" s="19"/>
      <c r="C103" s="228"/>
      <c r="D103" s="274"/>
      <c r="E103" s="119"/>
      <c r="F103" s="227"/>
      <c r="G103" s="119"/>
      <c r="H103" s="227"/>
      <c r="I103" s="120"/>
      <c r="J103" s="24"/>
      <c r="K103" s="19"/>
    </row>
    <row r="104" spans="2:11" x14ac:dyDescent="0.25">
      <c r="B104" s="280">
        <v>46197</v>
      </c>
      <c r="C104" s="299" t="s">
        <v>262</v>
      </c>
      <c r="D104" s="948">
        <f>'Greens Quantities '!O4</f>
        <v>2</v>
      </c>
      <c r="E104" s="310">
        <v>2</v>
      </c>
      <c r="F104" s="311"/>
      <c r="G104" s="730" t="s">
        <v>40</v>
      </c>
      <c r="H104" s="311"/>
      <c r="I104" s="312"/>
      <c r="J104" s="129"/>
      <c r="K104" s="19" t="s">
        <v>263</v>
      </c>
    </row>
    <row r="105" spans="2:11" x14ac:dyDescent="0.25">
      <c r="B105" s="19"/>
      <c r="C105" s="299" t="s">
        <v>264</v>
      </c>
      <c r="D105" s="948">
        <f>'Greens Quantities '!O3</f>
        <v>6</v>
      </c>
      <c r="E105" s="310">
        <v>2</v>
      </c>
      <c r="F105" s="311"/>
      <c r="G105" s="730" t="s">
        <v>85</v>
      </c>
      <c r="H105" s="311"/>
      <c r="I105" s="312"/>
      <c r="J105" s="129"/>
      <c r="K105" s="19"/>
    </row>
    <row r="106" spans="2:11" x14ac:dyDescent="0.25">
      <c r="B106" s="19"/>
      <c r="C106" s="228"/>
      <c r="D106" s="274"/>
      <c r="E106" s="119"/>
      <c r="F106" s="227"/>
      <c r="G106" s="119"/>
      <c r="H106" s="227"/>
      <c r="I106" s="120"/>
      <c r="J106" s="24"/>
      <c r="K106" s="19"/>
    </row>
    <row r="107" spans="2:11" x14ac:dyDescent="0.25">
      <c r="B107" s="327">
        <v>46199</v>
      </c>
      <c r="C107" s="329" t="s">
        <v>250</v>
      </c>
      <c r="D107" s="306">
        <f>'Greens Quantities '!C41</f>
        <v>2.8000000000000001E-2</v>
      </c>
      <c r="E107" s="22">
        <v>2</v>
      </c>
      <c r="F107" s="22" t="s">
        <v>251</v>
      </c>
      <c r="G107" s="103" t="s">
        <v>252</v>
      </c>
      <c r="H107" s="22"/>
      <c r="I107" s="22"/>
      <c r="J107" s="22"/>
      <c r="K107" s="19"/>
    </row>
    <row r="108" spans="2:11" x14ac:dyDescent="0.25">
      <c r="B108" s="12"/>
      <c r="C108" s="299" t="s">
        <v>255</v>
      </c>
      <c r="D108" s="103">
        <f>'Greens Quantities '!C8</f>
        <v>1.9</v>
      </c>
      <c r="E108" s="22">
        <v>2</v>
      </c>
      <c r="F108" s="22" t="s">
        <v>256</v>
      </c>
      <c r="G108" s="22" t="s">
        <v>257</v>
      </c>
      <c r="H108" s="22">
        <v>33</v>
      </c>
      <c r="I108" s="22" t="s">
        <v>258</v>
      </c>
      <c r="J108" s="96" t="s">
        <v>66</v>
      </c>
      <c r="K108" s="100"/>
    </row>
    <row r="109" spans="2:11" x14ac:dyDescent="0.25">
      <c r="B109" s="12"/>
      <c r="C109" s="947" t="s">
        <v>14</v>
      </c>
      <c r="D109" s="104">
        <f>'Greens Quantities '!C33</f>
        <v>0.125</v>
      </c>
      <c r="E109" s="22">
        <v>2</v>
      </c>
      <c r="F109" s="307" t="s">
        <v>270</v>
      </c>
      <c r="G109" s="306" t="s">
        <v>271</v>
      </c>
      <c r="H109" s="311"/>
      <c r="I109" s="310"/>
      <c r="J109" s="153"/>
      <c r="K109" s="12"/>
    </row>
    <row r="110" spans="2:11" x14ac:dyDescent="0.25">
      <c r="B110" s="12"/>
      <c r="C110" s="947" t="s">
        <v>50</v>
      </c>
      <c r="D110" s="104">
        <f>'Greens Quantities '!C34</f>
        <v>0.125</v>
      </c>
      <c r="E110" s="22">
        <v>2</v>
      </c>
      <c r="F110" s="282" t="s">
        <v>270</v>
      </c>
      <c r="G110" s="22" t="s">
        <v>272</v>
      </c>
      <c r="H110" s="311"/>
      <c r="I110" s="310"/>
      <c r="J110" s="153"/>
      <c r="K110" s="772"/>
    </row>
    <row r="111" spans="2:11" x14ac:dyDescent="0.25">
      <c r="B111" s="12"/>
      <c r="C111" s="358"/>
      <c r="D111" s="104"/>
      <c r="E111" s="19"/>
      <c r="F111" s="731"/>
      <c r="G111" s="332"/>
      <c r="H111" s="227"/>
      <c r="I111" s="119"/>
      <c r="J111" s="24"/>
      <c r="K111" s="308"/>
    </row>
    <row r="112" spans="2:11" x14ac:dyDescent="0.25">
      <c r="B112" s="305">
        <v>46202</v>
      </c>
      <c r="C112" s="1011" t="s">
        <v>116</v>
      </c>
      <c r="D112" s="103">
        <f>'Greens Quantities '!C13</f>
        <v>0.47</v>
      </c>
      <c r="E112" s="161">
        <v>2</v>
      </c>
      <c r="F112" s="79"/>
      <c r="G112" s="330" t="s">
        <v>277</v>
      </c>
      <c r="H112" s="331" t="s">
        <v>278</v>
      </c>
      <c r="I112" s="332" t="s">
        <v>242</v>
      </c>
      <c r="J112" s="289" t="s">
        <v>26</v>
      </c>
      <c r="K112" s="19" t="s">
        <v>279</v>
      </c>
    </row>
    <row r="113" spans="2:11" x14ac:dyDescent="0.25">
      <c r="B113" s="128"/>
      <c r="C113" s="333" t="s">
        <v>32</v>
      </c>
      <c r="D113" s="274">
        <f>'Greens Quantities '!C37</f>
        <v>1.5</v>
      </c>
      <c r="E113" s="79"/>
      <c r="F113" s="79"/>
      <c r="G113" s="103"/>
      <c r="H113" s="103"/>
      <c r="I113" s="334"/>
      <c r="J113" s="237"/>
      <c r="K113" s="335"/>
    </row>
    <row r="114" spans="2:11" x14ac:dyDescent="0.25">
      <c r="B114" s="12"/>
      <c r="C114" s="333" t="s">
        <v>239</v>
      </c>
      <c r="D114" s="274">
        <f>'Greens Quantities '!C38</f>
        <v>0.71</v>
      </c>
      <c r="E114" s="79">
        <v>2</v>
      </c>
      <c r="F114" s="728"/>
      <c r="G114" s="332"/>
      <c r="H114" s="731"/>
      <c r="I114" s="334"/>
      <c r="J114" s="237"/>
      <c r="K114" s="12"/>
    </row>
    <row r="115" spans="2:11" x14ac:dyDescent="0.25">
      <c r="B115" s="287"/>
      <c r="C115" s="337"/>
      <c r="D115" s="338"/>
      <c r="E115" s="339"/>
      <c r="F115" s="340"/>
      <c r="G115" s="341"/>
      <c r="H115" s="342"/>
      <c r="I115" s="343"/>
      <c r="J115" s="344"/>
      <c r="K115" s="339"/>
    </row>
    <row r="116" spans="2:11" x14ac:dyDescent="0.25">
      <c r="B116" s="280">
        <v>46206</v>
      </c>
      <c r="C116" s="281" t="s">
        <v>21</v>
      </c>
      <c r="D116" s="104">
        <f>'Greens Quantities '!C5</f>
        <v>0.5</v>
      </c>
      <c r="E116" s="310">
        <v>2</v>
      </c>
      <c r="F116" s="311" t="s">
        <v>232</v>
      </c>
      <c r="G116" s="310" t="s">
        <v>22</v>
      </c>
      <c r="H116" s="311">
        <v>29</v>
      </c>
      <c r="I116" s="157" t="s">
        <v>230</v>
      </c>
      <c r="J116" s="153" t="s">
        <v>66</v>
      </c>
      <c r="K116" s="119"/>
    </row>
    <row r="117" spans="2:11" x14ac:dyDescent="0.25">
      <c r="B117" s="22"/>
      <c r="C117" s="299" t="s">
        <v>255</v>
      </c>
      <c r="D117" s="104">
        <f>'Greens Quantities '!C8</f>
        <v>1.9</v>
      </c>
      <c r="E117" s="22">
        <v>2</v>
      </c>
      <c r="F117" s="282" t="s">
        <v>256</v>
      </c>
      <c r="G117" s="22" t="s">
        <v>257</v>
      </c>
      <c r="H117" s="282">
        <v>33</v>
      </c>
      <c r="I117" s="157" t="s">
        <v>258</v>
      </c>
      <c r="J117" s="153" t="s">
        <v>66</v>
      </c>
      <c r="K117" s="300"/>
    </row>
    <row r="118" spans="2:11" x14ac:dyDescent="0.25">
      <c r="B118" s="12"/>
      <c r="C118" s="329" t="s">
        <v>250</v>
      </c>
      <c r="D118" s="306">
        <f>'Greens Quantities '!C41</f>
        <v>2.8000000000000001E-2</v>
      </c>
      <c r="E118" s="22">
        <v>2</v>
      </c>
      <c r="F118" s="22" t="s">
        <v>251</v>
      </c>
      <c r="G118" s="103" t="s">
        <v>252</v>
      </c>
      <c r="H118" s="22"/>
      <c r="I118" s="22"/>
      <c r="J118" s="22"/>
      <c r="K118" s="346"/>
    </row>
    <row r="119" spans="2:11" x14ac:dyDescent="0.25">
      <c r="B119" s="12"/>
      <c r="C119" s="281" t="s">
        <v>280</v>
      </c>
      <c r="D119" s="279">
        <f>'Greens Quantities '!C3</f>
        <v>2</v>
      </c>
      <c r="E119" s="22">
        <v>2</v>
      </c>
      <c r="F119" s="282"/>
      <c r="G119" s="103" t="s">
        <v>281</v>
      </c>
      <c r="H119" s="282"/>
      <c r="I119" s="157"/>
      <c r="J119" s="311"/>
      <c r="K119" s="346"/>
    </row>
    <row r="120" spans="2:11" x14ac:dyDescent="0.25">
      <c r="B120" s="12"/>
      <c r="C120" s="947" t="s">
        <v>14</v>
      </c>
      <c r="D120" s="104">
        <f>'Greens Quantities '!C33</f>
        <v>0.125</v>
      </c>
      <c r="E120" s="306">
        <v>2</v>
      </c>
      <c r="F120" s="307" t="s">
        <v>270</v>
      </c>
      <c r="G120" s="306" t="s">
        <v>271</v>
      </c>
      <c r="H120" s="307"/>
      <c r="I120" s="157"/>
      <c r="J120" s="322"/>
      <c r="K120" s="100"/>
    </row>
    <row r="121" spans="2:11" x14ac:dyDescent="0.25">
      <c r="B121" s="12"/>
      <c r="C121" s="947" t="s">
        <v>50</v>
      </c>
      <c r="D121" s="104">
        <f>'Greens Quantities '!C34</f>
        <v>0.125</v>
      </c>
      <c r="E121" s="22">
        <v>2</v>
      </c>
      <c r="F121" s="282" t="s">
        <v>270</v>
      </c>
      <c r="G121" s="22" t="s">
        <v>272</v>
      </c>
      <c r="H121" s="307"/>
      <c r="I121" s="157"/>
      <c r="J121" s="322"/>
      <c r="K121" s="100"/>
    </row>
    <row r="122" spans="2:11" x14ac:dyDescent="0.25">
      <c r="B122" s="12"/>
      <c r="C122" s="1012"/>
      <c r="D122" s="320"/>
      <c r="E122" s="945"/>
      <c r="F122" s="303"/>
      <c r="G122" s="103"/>
      <c r="H122" s="303"/>
      <c r="I122" s="24"/>
      <c r="J122" s="227"/>
      <c r="K122" s="100"/>
    </row>
    <row r="123" spans="2:11" x14ac:dyDescent="0.25">
      <c r="B123" s="280">
        <v>46209</v>
      </c>
      <c r="C123" s="941" t="s">
        <v>273</v>
      </c>
      <c r="D123" s="320">
        <f>'Greens Quantities '!C14</f>
        <v>0.6</v>
      </c>
      <c r="E123" s="100">
        <v>2</v>
      </c>
      <c r="F123" s="103" t="s">
        <v>274</v>
      </c>
      <c r="G123" s="103" t="s">
        <v>275</v>
      </c>
      <c r="H123" s="103" t="s">
        <v>276</v>
      </c>
      <c r="I123" s="161"/>
      <c r="J123" s="324"/>
      <c r="K123" s="345"/>
    </row>
    <row r="124" spans="2:11" x14ac:dyDescent="0.25">
      <c r="B124" s="280"/>
      <c r="C124" s="963" t="s">
        <v>32</v>
      </c>
      <c r="D124" s="103">
        <f>'Greens Quantities '!C37</f>
        <v>1.5</v>
      </c>
      <c r="E124" s="22">
        <v>2</v>
      </c>
      <c r="F124" s="229"/>
      <c r="G124" s="328"/>
      <c r="H124" s="314"/>
      <c r="I124" s="101"/>
      <c r="J124" s="348"/>
      <c r="K124" s="345"/>
    </row>
    <row r="125" spans="2:11" x14ac:dyDescent="0.25">
      <c r="B125" s="12"/>
      <c r="C125" s="355" t="s">
        <v>239</v>
      </c>
      <c r="D125" s="104">
        <f>'Greens Quantities '!C38</f>
        <v>0.71</v>
      </c>
      <c r="E125" s="22">
        <v>2</v>
      </c>
      <c r="F125" s="229"/>
      <c r="G125" s="328"/>
      <c r="H125" s="314"/>
      <c r="I125" s="101"/>
      <c r="J125" s="348"/>
      <c r="K125" s="19"/>
    </row>
    <row r="126" spans="2:11" x14ac:dyDescent="0.25">
      <c r="B126" s="280"/>
      <c r="C126" s="228"/>
      <c r="D126" s="104"/>
      <c r="E126" s="19"/>
      <c r="F126" s="229"/>
      <c r="G126" s="100"/>
      <c r="H126" s="229"/>
      <c r="I126" s="101"/>
      <c r="J126" s="101"/>
      <c r="K126" s="345"/>
    </row>
    <row r="127" spans="2:11" x14ac:dyDescent="0.25">
      <c r="B127" s="280">
        <v>46211</v>
      </c>
      <c r="C127" s="299" t="s">
        <v>262</v>
      </c>
      <c r="D127" s="104">
        <f>'Greens Quantities '!O4</f>
        <v>2</v>
      </c>
      <c r="E127" s="22">
        <v>2</v>
      </c>
      <c r="F127" s="229"/>
      <c r="G127" s="328" t="s">
        <v>40</v>
      </c>
      <c r="H127" s="314"/>
      <c r="I127" s="101"/>
      <c r="J127" s="348"/>
      <c r="K127" s="19" t="s">
        <v>263</v>
      </c>
    </row>
    <row r="128" spans="2:11" x14ac:dyDescent="0.25">
      <c r="B128" s="280"/>
      <c r="C128" s="299" t="s">
        <v>264</v>
      </c>
      <c r="D128" s="104">
        <f>'Greens Quantities '!O3</f>
        <v>6</v>
      </c>
      <c r="E128" s="22">
        <v>2</v>
      </c>
      <c r="F128" s="229"/>
      <c r="G128" s="328" t="s">
        <v>85</v>
      </c>
      <c r="H128" s="314"/>
      <c r="I128" s="101"/>
      <c r="J128" s="348"/>
      <c r="K128" s="345"/>
    </row>
    <row r="129" spans="2:11" x14ac:dyDescent="0.25">
      <c r="B129" s="280"/>
      <c r="C129" s="228"/>
      <c r="D129" s="104"/>
      <c r="E129" s="19"/>
      <c r="F129" s="229"/>
      <c r="G129" s="100"/>
      <c r="H129" s="229"/>
      <c r="I129" s="101"/>
      <c r="J129" s="101"/>
      <c r="K129" s="345"/>
    </row>
    <row r="130" spans="2:11" x14ac:dyDescent="0.25">
      <c r="B130" s="280">
        <v>46213</v>
      </c>
      <c r="C130" s="301" t="s">
        <v>80</v>
      </c>
      <c r="D130" s="104">
        <f>'Greens Quantities '!C15</f>
        <v>2</v>
      </c>
      <c r="E130" s="22">
        <v>2</v>
      </c>
      <c r="F130" s="282" t="s">
        <v>232</v>
      </c>
      <c r="G130" s="22" t="s">
        <v>282</v>
      </c>
      <c r="H130" s="282">
        <v>1</v>
      </c>
      <c r="I130" s="157" t="s">
        <v>237</v>
      </c>
      <c r="J130" s="318" t="s">
        <v>19</v>
      </c>
      <c r="K130" s="100"/>
    </row>
    <row r="131" spans="2:11" x14ac:dyDescent="0.25">
      <c r="B131" s="22"/>
      <c r="C131" s="299" t="s">
        <v>255</v>
      </c>
      <c r="D131" s="320">
        <f>'Greens Quantities '!C8</f>
        <v>1.9</v>
      </c>
      <c r="E131" s="328">
        <v>2</v>
      </c>
      <c r="F131" s="314" t="s">
        <v>256</v>
      </c>
      <c r="G131" s="328" t="s">
        <v>257</v>
      </c>
      <c r="H131" s="314">
        <v>33</v>
      </c>
      <c r="I131" s="315" t="s">
        <v>258</v>
      </c>
      <c r="J131" s="316" t="s">
        <v>66</v>
      </c>
      <c r="K131" s="300"/>
    </row>
    <row r="132" spans="2:11" x14ac:dyDescent="0.25">
      <c r="B132" s="12"/>
      <c r="C132" s="329" t="s">
        <v>250</v>
      </c>
      <c r="D132" s="306">
        <f>'Greens Quantities '!C41</f>
        <v>2.8000000000000001E-2</v>
      </c>
      <c r="E132" s="22">
        <v>2</v>
      </c>
      <c r="F132" s="22" t="s">
        <v>251</v>
      </c>
      <c r="G132" s="103" t="s">
        <v>252</v>
      </c>
      <c r="H132" s="22"/>
      <c r="I132" s="22"/>
      <c r="J132" s="22"/>
      <c r="K132" s="100"/>
    </row>
    <row r="133" spans="2:11" x14ac:dyDescent="0.25">
      <c r="B133" s="12"/>
      <c r="C133" s="947" t="s">
        <v>14</v>
      </c>
      <c r="D133" s="104">
        <f>'Greens Quantities '!C33</f>
        <v>0.125</v>
      </c>
      <c r="E133" s="306">
        <v>2</v>
      </c>
      <c r="F133" s="307" t="s">
        <v>270</v>
      </c>
      <c r="G133" s="306" t="s">
        <v>271</v>
      </c>
      <c r="H133" s="314"/>
      <c r="I133" s="315"/>
      <c r="J133" s="316"/>
      <c r="K133" s="12"/>
    </row>
    <row r="134" spans="2:11" x14ac:dyDescent="0.25">
      <c r="B134" s="12"/>
      <c r="C134" s="947" t="s">
        <v>50</v>
      </c>
      <c r="D134" s="104">
        <f>'Greens Quantities '!C34</f>
        <v>0.125</v>
      </c>
      <c r="E134" s="22">
        <v>2</v>
      </c>
      <c r="F134" s="282" t="s">
        <v>270</v>
      </c>
      <c r="G134" s="22" t="s">
        <v>272</v>
      </c>
      <c r="H134" s="314"/>
      <c r="I134" s="315"/>
      <c r="J134" s="316"/>
      <c r="K134" s="123"/>
    </row>
    <row r="135" spans="2:11" x14ac:dyDescent="0.25">
      <c r="B135" s="12"/>
      <c r="C135" s="228"/>
      <c r="D135" s="104"/>
      <c r="E135" s="103"/>
      <c r="F135" s="303"/>
      <c r="G135" s="103"/>
      <c r="H135" s="229"/>
      <c r="I135" s="101"/>
      <c r="J135" s="101"/>
      <c r="K135" s="123"/>
    </row>
    <row r="136" spans="2:11" x14ac:dyDescent="0.25">
      <c r="B136" s="280">
        <v>46216</v>
      </c>
      <c r="C136" s="319" t="s">
        <v>259</v>
      </c>
      <c r="D136" s="302">
        <f>'Greens Quantities '!C30</f>
        <v>0.14348025711662074</v>
      </c>
      <c r="E136" s="103">
        <v>2</v>
      </c>
      <c r="F136" s="303" t="s">
        <v>248</v>
      </c>
      <c r="G136" s="103" t="s">
        <v>260</v>
      </c>
      <c r="H136" s="303">
        <v>6</v>
      </c>
      <c r="I136" s="104"/>
      <c r="J136" s="126"/>
      <c r="K136" s="350"/>
    </row>
    <row r="137" spans="2:11" x14ac:dyDescent="0.25">
      <c r="B137" s="12"/>
      <c r="C137" s="293" t="s">
        <v>77</v>
      </c>
      <c r="D137" s="217">
        <f>'Greens Quantities '!C27</f>
        <v>0.28000000000000003</v>
      </c>
      <c r="E137" s="128">
        <v>2</v>
      </c>
      <c r="F137" s="349" t="s">
        <v>253</v>
      </c>
      <c r="G137" s="128" t="s">
        <v>78</v>
      </c>
      <c r="H137" s="228"/>
      <c r="I137" s="24"/>
      <c r="J137" s="126"/>
      <c r="K137" s="22" t="s">
        <v>254</v>
      </c>
    </row>
    <row r="138" spans="2:11" x14ac:dyDescent="0.25">
      <c r="B138" s="22"/>
      <c r="C138" s="299" t="s">
        <v>283</v>
      </c>
      <c r="D138" s="104">
        <f>'Greens Quantities '!C20</f>
        <v>3.25</v>
      </c>
      <c r="E138" s="22">
        <v>2</v>
      </c>
      <c r="F138" s="282" t="s">
        <v>234</v>
      </c>
      <c r="G138" s="22" t="s">
        <v>284</v>
      </c>
      <c r="H138" s="282">
        <v>7</v>
      </c>
      <c r="I138" s="157" t="s">
        <v>242</v>
      </c>
      <c r="J138" s="289" t="s">
        <v>26</v>
      </c>
      <c r="K138" s="958" t="s">
        <v>72</v>
      </c>
    </row>
    <row r="139" spans="2:11" x14ac:dyDescent="0.25">
      <c r="B139" s="12"/>
      <c r="C139" s="227"/>
      <c r="D139" s="274"/>
      <c r="E139" s="119"/>
      <c r="F139" s="227"/>
      <c r="G139" s="119"/>
      <c r="H139" s="227"/>
      <c r="I139" s="120"/>
      <c r="J139" s="120"/>
      <c r="K139" s="19"/>
    </row>
    <row r="140" spans="2:11" x14ac:dyDescent="0.25">
      <c r="B140" s="280">
        <v>46220</v>
      </c>
      <c r="C140" s="309" t="s">
        <v>21</v>
      </c>
      <c r="D140" s="274">
        <f>'Greens Quantities '!C5</f>
        <v>0.5</v>
      </c>
      <c r="E140" s="310">
        <v>2</v>
      </c>
      <c r="F140" s="311" t="s">
        <v>232</v>
      </c>
      <c r="G140" s="310" t="s">
        <v>22</v>
      </c>
      <c r="H140" s="311">
        <v>29</v>
      </c>
      <c r="I140" s="312" t="s">
        <v>230</v>
      </c>
      <c r="J140" s="313" t="s">
        <v>66</v>
      </c>
      <c r="K140" s="19"/>
    </row>
    <row r="141" spans="2:11" x14ac:dyDescent="0.25">
      <c r="B141" s="12"/>
      <c r="C141" s="281" t="s">
        <v>280</v>
      </c>
      <c r="D141" s="104">
        <f>'Greens Quantities '!C3</f>
        <v>2</v>
      </c>
      <c r="E141" s="22">
        <v>2</v>
      </c>
      <c r="F141" s="282" t="s">
        <v>285</v>
      </c>
      <c r="G141" s="22" t="s">
        <v>281</v>
      </c>
      <c r="H141" s="282"/>
      <c r="I141" s="157" t="s">
        <v>237</v>
      </c>
      <c r="J141" s="153" t="s">
        <v>66</v>
      </c>
      <c r="K141" s="328"/>
    </row>
    <row r="142" spans="2:11" x14ac:dyDescent="0.25">
      <c r="B142" s="12"/>
      <c r="C142" s="299" t="s">
        <v>255</v>
      </c>
      <c r="D142" s="104">
        <f>'Greens Quantities '!C8</f>
        <v>1.9</v>
      </c>
      <c r="E142" s="22">
        <v>2</v>
      </c>
      <c r="F142" s="282" t="s">
        <v>256</v>
      </c>
      <c r="G142" s="22" t="s">
        <v>257</v>
      </c>
      <c r="H142" s="282">
        <v>33</v>
      </c>
      <c r="I142" s="157" t="s">
        <v>237</v>
      </c>
      <c r="J142" s="153" t="s">
        <v>66</v>
      </c>
      <c r="K142" s="12"/>
    </row>
    <row r="143" spans="2:11" x14ac:dyDescent="0.25">
      <c r="B143" s="12"/>
      <c r="C143" s="329" t="s">
        <v>250</v>
      </c>
      <c r="D143" s="306">
        <f>'Greens Quantities '!C41</f>
        <v>2.8000000000000001E-2</v>
      </c>
      <c r="E143" s="22">
        <v>2</v>
      </c>
      <c r="F143" s="22" t="s">
        <v>251</v>
      </c>
      <c r="G143" s="103" t="s">
        <v>252</v>
      </c>
      <c r="H143" s="22"/>
      <c r="I143" s="22"/>
      <c r="J143" s="22"/>
      <c r="K143" s="328"/>
    </row>
    <row r="144" spans="2:11" x14ac:dyDescent="0.25">
      <c r="B144" s="12"/>
      <c r="C144" s="947" t="s">
        <v>14</v>
      </c>
      <c r="D144" s="104">
        <f>'Greens Quantities '!C33</f>
        <v>0.125</v>
      </c>
      <c r="E144" s="22">
        <v>2</v>
      </c>
      <c r="F144" s="282" t="s">
        <v>270</v>
      </c>
      <c r="G144" s="22" t="s">
        <v>271</v>
      </c>
      <c r="H144" s="282"/>
      <c r="I144" s="157"/>
      <c r="J144" s="289"/>
      <c r="K144" s="12"/>
    </row>
    <row r="145" spans="2:12" x14ac:dyDescent="0.25">
      <c r="B145" s="12"/>
      <c r="C145" s="947" t="s">
        <v>50</v>
      </c>
      <c r="D145" s="104">
        <f>'Greens Quantities '!C34</f>
        <v>0.125</v>
      </c>
      <c r="E145" s="22">
        <v>2</v>
      </c>
      <c r="F145" s="282" t="s">
        <v>270</v>
      </c>
      <c r="G145" s="22" t="s">
        <v>272</v>
      </c>
      <c r="H145" s="282"/>
      <c r="I145" s="157"/>
      <c r="J145" s="289"/>
      <c r="K145" s="123"/>
    </row>
    <row r="146" spans="2:12" x14ac:dyDescent="0.25">
      <c r="B146" s="12"/>
      <c r="C146" s="228"/>
      <c r="D146" s="104"/>
      <c r="E146" s="19"/>
      <c r="F146" s="228"/>
      <c r="G146" s="19"/>
      <c r="H146" s="228"/>
      <c r="I146" s="24"/>
      <c r="J146" s="24"/>
      <c r="K146" s="123"/>
    </row>
    <row r="147" spans="2:12" x14ac:dyDescent="0.25">
      <c r="B147" s="280">
        <v>46223</v>
      </c>
      <c r="C147" s="965" t="s">
        <v>286</v>
      </c>
      <c r="D147" s="351">
        <f>'Greens Quantities '!C18</f>
        <v>2</v>
      </c>
      <c r="E147" s="161">
        <v>2</v>
      </c>
      <c r="F147" s="161"/>
      <c r="G147" s="103" t="s">
        <v>75</v>
      </c>
      <c r="H147" s="103">
        <v>11</v>
      </c>
      <c r="I147" s="103" t="s">
        <v>246</v>
      </c>
      <c r="J147" s="318" t="s">
        <v>19</v>
      </c>
      <c r="K147" s="332" t="s">
        <v>287</v>
      </c>
    </row>
    <row r="148" spans="2:12" x14ac:dyDescent="0.25">
      <c r="B148" s="19"/>
      <c r="C148" s="963" t="s">
        <v>32</v>
      </c>
      <c r="D148" s="103">
        <f>'Greens Quantities '!D37</f>
        <v>280</v>
      </c>
      <c r="E148" s="22">
        <v>2</v>
      </c>
      <c r="F148" s="228"/>
      <c r="G148" s="22"/>
      <c r="H148" s="282"/>
      <c r="I148" s="24"/>
      <c r="J148" s="126"/>
      <c r="K148" s="79"/>
    </row>
    <row r="149" spans="2:12" x14ac:dyDescent="0.25">
      <c r="B149" s="12"/>
      <c r="C149" s="355" t="s">
        <v>239</v>
      </c>
      <c r="D149" s="104">
        <f>'Greens Quantities '!C38</f>
        <v>0.71</v>
      </c>
      <c r="E149" s="22">
        <v>2</v>
      </c>
      <c r="F149" s="228"/>
      <c r="G149" s="22"/>
      <c r="H149" s="282"/>
      <c r="I149" s="24"/>
      <c r="J149" s="126"/>
      <c r="K149" s="119"/>
    </row>
    <row r="150" spans="2:12" x14ac:dyDescent="0.25">
      <c r="B150" s="12"/>
      <c r="C150" s="228"/>
      <c r="D150" s="104"/>
      <c r="E150" s="19"/>
      <c r="F150" s="228"/>
      <c r="G150" s="19"/>
      <c r="H150" s="228"/>
      <c r="I150" s="24"/>
      <c r="J150" s="24"/>
      <c r="K150" s="119"/>
    </row>
    <row r="151" spans="2:12" x14ac:dyDescent="0.25">
      <c r="B151" s="931">
        <v>46225</v>
      </c>
      <c r="C151" s="299" t="s">
        <v>262</v>
      </c>
      <c r="D151" s="104">
        <f>'Greens Quantities '!O4</f>
        <v>2</v>
      </c>
      <c r="E151" s="22">
        <v>2</v>
      </c>
      <c r="F151" s="228"/>
      <c r="G151" s="22" t="s">
        <v>40</v>
      </c>
      <c r="H151" s="282"/>
      <c r="I151" s="24"/>
      <c r="J151" s="126"/>
      <c r="K151" s="119" t="s">
        <v>263</v>
      </c>
    </row>
    <row r="152" spans="2:12" x14ac:dyDescent="0.25">
      <c r="B152" s="12"/>
      <c r="C152" s="299" t="s">
        <v>264</v>
      </c>
      <c r="D152" s="104">
        <f>'Greens Quantities '!O3</f>
        <v>6</v>
      </c>
      <c r="E152" s="22">
        <v>2</v>
      </c>
      <c r="F152" s="228"/>
      <c r="G152" s="22" t="s">
        <v>85</v>
      </c>
      <c r="H152" s="282"/>
      <c r="I152" s="24"/>
      <c r="J152" s="126"/>
      <c r="K152" s="119"/>
    </row>
    <row r="153" spans="2:12" x14ac:dyDescent="0.25">
      <c r="B153" s="12"/>
      <c r="C153" s="228"/>
      <c r="D153" s="104"/>
      <c r="E153" s="19"/>
      <c r="F153" s="228"/>
      <c r="G153" s="19"/>
      <c r="H153" s="228"/>
      <c r="I153" s="24"/>
      <c r="J153" s="24"/>
      <c r="K153" s="119"/>
    </row>
    <row r="154" spans="2:12" x14ac:dyDescent="0.25">
      <c r="B154" s="280">
        <v>46227</v>
      </c>
      <c r="C154" s="299" t="s">
        <v>255</v>
      </c>
      <c r="D154" s="320">
        <f>'Greens Quantities '!C8</f>
        <v>1.9</v>
      </c>
      <c r="E154" s="328">
        <v>2</v>
      </c>
      <c r="F154" s="314" t="s">
        <v>256</v>
      </c>
      <c r="G154" s="328" t="s">
        <v>257</v>
      </c>
      <c r="H154" s="314">
        <v>33</v>
      </c>
      <c r="I154" s="315" t="s">
        <v>258</v>
      </c>
      <c r="J154" s="316" t="s">
        <v>66</v>
      </c>
      <c r="K154" s="300"/>
    </row>
    <row r="155" spans="2:12" x14ac:dyDescent="0.25">
      <c r="B155" s="22"/>
      <c r="C155" s="329" t="s">
        <v>250</v>
      </c>
      <c r="D155" s="306">
        <f>'Greens Quantities '!C41</f>
        <v>2.8000000000000001E-2</v>
      </c>
      <c r="E155" s="22">
        <v>2</v>
      </c>
      <c r="F155" s="22" t="s">
        <v>251</v>
      </c>
      <c r="G155" s="103" t="s">
        <v>252</v>
      </c>
      <c r="H155" s="22"/>
      <c r="I155" s="22"/>
      <c r="J155" s="22"/>
      <c r="K155" s="346"/>
    </row>
    <row r="156" spans="2:12" x14ac:dyDescent="0.25">
      <c r="B156" s="12"/>
      <c r="C156" s="947" t="s">
        <v>14</v>
      </c>
      <c r="D156" s="104">
        <f>'Greens Quantities '!C33</f>
        <v>0.125</v>
      </c>
      <c r="E156" s="306">
        <v>2</v>
      </c>
      <c r="F156" s="307" t="s">
        <v>270</v>
      </c>
      <c r="G156" s="306" t="s">
        <v>271</v>
      </c>
      <c r="H156" s="314"/>
      <c r="I156" s="315"/>
      <c r="J156" s="316"/>
      <c r="K156" s="345"/>
    </row>
    <row r="157" spans="2:12" x14ac:dyDescent="0.25">
      <c r="B157" s="12"/>
      <c r="C157" s="947" t="s">
        <v>50</v>
      </c>
      <c r="D157" s="104">
        <f>'Greens Quantities '!C34</f>
        <v>0.125</v>
      </c>
      <c r="E157" s="22">
        <v>2</v>
      </c>
      <c r="F157" s="282" t="s">
        <v>270</v>
      </c>
      <c r="G157" s="22" t="s">
        <v>272</v>
      </c>
      <c r="H157" s="314"/>
      <c r="I157" s="315"/>
      <c r="J157" s="316"/>
      <c r="K157" s="345"/>
    </row>
    <row r="158" spans="2:12" x14ac:dyDescent="0.25">
      <c r="B158" s="12"/>
      <c r="C158" s="358"/>
      <c r="D158" s="104"/>
      <c r="E158" s="103"/>
      <c r="F158" s="303"/>
      <c r="G158" s="103"/>
      <c r="H158" s="229"/>
      <c r="I158" s="101"/>
      <c r="J158" s="101"/>
      <c r="K158" s="346"/>
    </row>
    <row r="159" spans="2:12" x14ac:dyDescent="0.25">
      <c r="B159" s="1050">
        <v>46230</v>
      </c>
      <c r="C159" s="1053" t="s">
        <v>280</v>
      </c>
      <c r="D159" s="1012">
        <f>'Greens Quantities '!C3</f>
        <v>2</v>
      </c>
      <c r="E159" s="328">
        <v>2</v>
      </c>
      <c r="F159" s="314" t="s">
        <v>285</v>
      </c>
      <c r="G159" s="328" t="s">
        <v>281</v>
      </c>
      <c r="H159" s="314"/>
      <c r="I159" s="315" t="s">
        <v>237</v>
      </c>
      <c r="J159" s="316" t="s">
        <v>288</v>
      </c>
      <c r="K159" s="12"/>
      <c r="L159" s="1051"/>
    </row>
    <row r="160" spans="2:12" x14ac:dyDescent="0.25">
      <c r="B160" s="1050"/>
      <c r="C160" s="1053" t="s">
        <v>231</v>
      </c>
      <c r="D160" s="1010"/>
      <c r="E160" s="22"/>
      <c r="F160" s="22"/>
      <c r="G160" s="22"/>
      <c r="H160" s="22"/>
      <c r="I160" s="22"/>
      <c r="J160" s="304"/>
      <c r="K160" s="1052"/>
    </row>
    <row r="161" spans="2:11" x14ac:dyDescent="0.25">
      <c r="B161" s="1009"/>
      <c r="C161" s="887" t="s">
        <v>239</v>
      </c>
      <c r="D161" s="1010">
        <f>'Greens Quantities '!C38</f>
        <v>0.71</v>
      </c>
      <c r="E161" s="306">
        <v>2</v>
      </c>
      <c r="F161" s="306"/>
      <c r="G161" s="306"/>
      <c r="H161" s="306"/>
      <c r="I161" s="306"/>
      <c r="J161" s="980"/>
      <c r="K161" s="103"/>
    </row>
    <row r="162" spans="2:11" x14ac:dyDescent="0.25">
      <c r="B162" s="353"/>
      <c r="C162" s="97"/>
      <c r="D162" s="103"/>
      <c r="E162" s="103"/>
      <c r="F162" s="103"/>
      <c r="G162" s="103"/>
      <c r="H162" s="103"/>
      <c r="I162" s="103"/>
      <c r="J162" s="103"/>
      <c r="K162" s="103"/>
    </row>
    <row r="163" spans="2:11" x14ac:dyDescent="0.25">
      <c r="B163" s="280">
        <v>46234</v>
      </c>
      <c r="C163" s="329" t="s">
        <v>21</v>
      </c>
      <c r="D163" s="103">
        <f>'Greens Quantities '!C5</f>
        <v>0.5</v>
      </c>
      <c r="E163" s="22">
        <v>2</v>
      </c>
      <c r="F163" s="22" t="s">
        <v>232</v>
      </c>
      <c r="G163" s="22" t="s">
        <v>22</v>
      </c>
      <c r="H163" s="22">
        <v>29</v>
      </c>
      <c r="I163" s="22" t="s">
        <v>230</v>
      </c>
      <c r="J163" s="96" t="s">
        <v>66</v>
      </c>
      <c r="K163" s="19"/>
    </row>
    <row r="164" spans="2:11" x14ac:dyDescent="0.25">
      <c r="B164" s="12"/>
      <c r="C164" s="299" t="s">
        <v>255</v>
      </c>
      <c r="D164" s="103">
        <f>'Greens Quantities '!C8</f>
        <v>1.9</v>
      </c>
      <c r="E164" s="19">
        <v>2</v>
      </c>
      <c r="F164" s="19" t="s">
        <v>256</v>
      </c>
      <c r="G164" s="19" t="s">
        <v>257</v>
      </c>
      <c r="H164" s="19">
        <v>33</v>
      </c>
      <c r="I164" s="19" t="s">
        <v>258</v>
      </c>
      <c r="J164" s="96" t="s">
        <v>66</v>
      </c>
      <c r="K164" s="119"/>
    </row>
    <row r="165" spans="2:11" x14ac:dyDescent="0.25">
      <c r="B165" s="22"/>
      <c r="C165" s="329" t="s">
        <v>250</v>
      </c>
      <c r="D165" s="306">
        <f>'Greens Quantities '!C41</f>
        <v>2.8000000000000001E-2</v>
      </c>
      <c r="E165" s="22">
        <v>2</v>
      </c>
      <c r="F165" s="22" t="s">
        <v>251</v>
      </c>
      <c r="G165" s="103" t="s">
        <v>252</v>
      </c>
      <c r="H165" s="22"/>
      <c r="I165" s="22"/>
      <c r="J165" s="22"/>
      <c r="K165" s="100"/>
    </row>
    <row r="166" spans="2:11" x14ac:dyDescent="0.25">
      <c r="B166" s="12"/>
      <c r="C166" s="281" t="s">
        <v>280</v>
      </c>
      <c r="D166" s="104">
        <f>'Greens Quantities '!C3</f>
        <v>2</v>
      </c>
      <c r="E166" s="22">
        <v>2</v>
      </c>
      <c r="F166" s="282" t="s">
        <v>285</v>
      </c>
      <c r="G166" s="306" t="s">
        <v>281</v>
      </c>
      <c r="H166" s="307"/>
      <c r="I166" s="279" t="s">
        <v>237</v>
      </c>
      <c r="J166" s="940" t="s">
        <v>66</v>
      </c>
      <c r="K166" s="973"/>
    </row>
    <row r="167" spans="2:11" x14ac:dyDescent="0.25">
      <c r="B167" s="12"/>
      <c r="C167" s="947" t="s">
        <v>14</v>
      </c>
      <c r="D167" s="104">
        <f>'Greens Quantities '!C33</f>
        <v>0.125</v>
      </c>
      <c r="E167" s="306">
        <v>2</v>
      </c>
      <c r="F167" s="307" t="s">
        <v>270</v>
      </c>
      <c r="G167" s="306" t="s">
        <v>271</v>
      </c>
      <c r="H167" s="100"/>
      <c r="I167" s="100"/>
      <c r="J167" s="358"/>
      <c r="K167" s="973"/>
    </row>
    <row r="168" spans="2:11" x14ac:dyDescent="0.25">
      <c r="B168" s="12"/>
      <c r="C168" s="947" t="s">
        <v>50</v>
      </c>
      <c r="D168" s="104">
        <f>'Greens Quantities '!C34</f>
        <v>0.125</v>
      </c>
      <c r="E168" s="22">
        <v>2</v>
      </c>
      <c r="F168" s="282" t="s">
        <v>270</v>
      </c>
      <c r="G168" s="157" t="s">
        <v>272</v>
      </c>
      <c r="H168" s="19"/>
      <c r="I168" s="19"/>
      <c r="J168" s="19"/>
      <c r="K168" s="306"/>
    </row>
    <row r="169" spans="2:11" x14ac:dyDescent="0.25">
      <c r="B169" s="961"/>
      <c r="C169" s="619"/>
      <c r="D169" s="619"/>
      <c r="E169" s="619"/>
      <c r="F169" s="619"/>
      <c r="G169" s="619"/>
      <c r="H169" s="961"/>
      <c r="I169" s="961"/>
      <c r="J169" s="961"/>
      <c r="K169" s="961"/>
    </row>
    <row r="170" spans="2:11" x14ac:dyDescent="0.25">
      <c r="B170" s="327">
        <v>46237</v>
      </c>
      <c r="C170" s="347" t="s">
        <v>273</v>
      </c>
      <c r="D170" s="320">
        <f>'Greens Quantities '!C14</f>
        <v>0.6</v>
      </c>
      <c r="E170" s="100">
        <v>2</v>
      </c>
      <c r="F170" s="103" t="s">
        <v>274</v>
      </c>
      <c r="G170" s="103" t="s">
        <v>275</v>
      </c>
      <c r="H170" s="332" t="s">
        <v>276</v>
      </c>
      <c r="I170" s="79"/>
      <c r="J170" s="324"/>
      <c r="K170" s="308"/>
    </row>
    <row r="171" spans="2:11" x14ac:dyDescent="0.25">
      <c r="B171" s="22"/>
      <c r="C171" s="963" t="s">
        <v>32</v>
      </c>
      <c r="D171" s="103">
        <f>'Greens Quantities '!C37</f>
        <v>1.5</v>
      </c>
      <c r="E171" s="22">
        <v>2</v>
      </c>
      <c r="F171" s="22"/>
      <c r="G171" s="22"/>
      <c r="H171" s="22"/>
      <c r="I171" s="22"/>
      <c r="J171" s="304"/>
      <c r="K171" s="191"/>
    </row>
    <row r="172" spans="2:11" x14ac:dyDescent="0.25">
      <c r="B172" s="22"/>
      <c r="C172" s="963" t="s">
        <v>239</v>
      </c>
      <c r="D172" s="103">
        <f>'Greens Quantities '!C38</f>
        <v>0.71</v>
      </c>
      <c r="E172" s="22">
        <v>2</v>
      </c>
      <c r="F172" s="22"/>
      <c r="G172" s="22"/>
      <c r="H172" s="22"/>
      <c r="I172" s="22"/>
      <c r="J172" s="304"/>
      <c r="K172" s="191"/>
    </row>
    <row r="173" spans="2:11" x14ac:dyDescent="0.25">
      <c r="B173" s="22"/>
      <c r="C173" s="966" t="s">
        <v>64</v>
      </c>
      <c r="D173" s="103">
        <f>'Greens Quantities '!C28</f>
        <v>0.73499999999999999</v>
      </c>
      <c r="E173" s="161">
        <v>2</v>
      </c>
      <c r="F173" s="103" t="s">
        <v>253</v>
      </c>
      <c r="G173" s="103" t="s">
        <v>269</v>
      </c>
      <c r="H173" s="161"/>
      <c r="I173" s="161"/>
      <c r="J173" s="161"/>
      <c r="K173" s="22" t="s">
        <v>254</v>
      </c>
    </row>
    <row r="174" spans="2:11" x14ac:dyDescent="0.25">
      <c r="B174" s="19"/>
      <c r="C174" s="228"/>
      <c r="D174" s="274"/>
      <c r="E174" s="79"/>
      <c r="F174" s="731"/>
      <c r="G174" s="332"/>
      <c r="H174" s="728"/>
      <c r="I174" s="80"/>
      <c r="J174" s="80"/>
      <c r="K174" s="19"/>
    </row>
    <row r="175" spans="2:11" x14ac:dyDescent="0.25">
      <c r="B175" s="962">
        <v>46239</v>
      </c>
      <c r="C175" s="299" t="s">
        <v>262</v>
      </c>
      <c r="D175" s="274">
        <f>'Greens Quantities '!O4</f>
        <v>2</v>
      </c>
      <c r="E175" s="79">
        <v>2</v>
      </c>
      <c r="F175" s="731"/>
      <c r="G175" s="332" t="s">
        <v>40</v>
      </c>
      <c r="H175" s="728"/>
      <c r="I175" s="80"/>
      <c r="J175" s="80"/>
      <c r="K175" s="19"/>
    </row>
    <row r="176" spans="2:11" x14ac:dyDescent="0.25">
      <c r="B176" s="22"/>
      <c r="C176" s="299" t="s">
        <v>264</v>
      </c>
      <c r="D176" s="274">
        <f>'Greens Quantities '!O3</f>
        <v>6</v>
      </c>
      <c r="E176" s="79">
        <v>2</v>
      </c>
      <c r="F176" s="731"/>
      <c r="G176" s="332" t="s">
        <v>85</v>
      </c>
      <c r="H176" s="728"/>
      <c r="I176" s="80"/>
      <c r="J176" s="80"/>
      <c r="K176" s="19" t="s">
        <v>263</v>
      </c>
    </row>
    <row r="177" spans="2:11" x14ac:dyDescent="0.25">
      <c r="B177" s="19"/>
      <c r="C177" s="228"/>
      <c r="D177" s="274"/>
      <c r="E177" s="79"/>
      <c r="F177" s="731"/>
      <c r="G177" s="332"/>
      <c r="H177" s="728"/>
      <c r="I177" s="80"/>
      <c r="J177" s="80"/>
      <c r="K177" s="19"/>
    </row>
    <row r="178" spans="2:11" x14ac:dyDescent="0.25">
      <c r="B178" s="353">
        <v>46241</v>
      </c>
      <c r="C178" s="299" t="s">
        <v>255</v>
      </c>
      <c r="D178" s="104">
        <f>'Greens Quantities '!C8</f>
        <v>1.9</v>
      </c>
      <c r="E178" s="22">
        <v>2</v>
      </c>
      <c r="F178" s="282" t="s">
        <v>232</v>
      </c>
      <c r="G178" s="19" t="s">
        <v>257</v>
      </c>
      <c r="H178" s="282" t="s">
        <v>205</v>
      </c>
      <c r="I178" s="157" t="s">
        <v>230</v>
      </c>
      <c r="J178" s="153" t="s">
        <v>66</v>
      </c>
      <c r="K178" s="19"/>
    </row>
    <row r="179" spans="2:11" x14ac:dyDescent="0.25">
      <c r="B179" s="22"/>
      <c r="C179" s="329" t="s">
        <v>250</v>
      </c>
      <c r="D179" s="306">
        <f>'Greens Quantities '!C41</f>
        <v>2.8000000000000001E-2</v>
      </c>
      <c r="E179" s="22">
        <v>2</v>
      </c>
      <c r="F179" s="22" t="s">
        <v>251</v>
      </c>
      <c r="G179" s="103" t="s">
        <v>252</v>
      </c>
      <c r="H179" s="22"/>
      <c r="I179" s="22"/>
      <c r="J179" s="22"/>
      <c r="K179" s="300"/>
    </row>
    <row r="180" spans="2:11" x14ac:dyDescent="0.25">
      <c r="B180" s="12"/>
      <c r="C180" s="947" t="s">
        <v>14</v>
      </c>
      <c r="D180" s="104">
        <f>'Greens Quantities '!C33</f>
        <v>0.125</v>
      </c>
      <c r="E180" s="22">
        <v>2</v>
      </c>
      <c r="F180" s="282" t="s">
        <v>270</v>
      </c>
      <c r="G180" s="306" t="s">
        <v>271</v>
      </c>
      <c r="H180" s="282"/>
      <c r="I180" s="157"/>
      <c r="J180" s="153"/>
      <c r="K180" s="19"/>
    </row>
    <row r="181" spans="2:11" x14ac:dyDescent="0.25">
      <c r="B181" s="12"/>
      <c r="C181" s="947" t="s">
        <v>50</v>
      </c>
      <c r="D181" s="104">
        <f>'Greens Quantities '!C34</f>
        <v>0.125</v>
      </c>
      <c r="E181" s="22">
        <v>2</v>
      </c>
      <c r="F181" s="282" t="s">
        <v>270</v>
      </c>
      <c r="G181" s="22" t="s">
        <v>272</v>
      </c>
      <c r="H181" s="282"/>
      <c r="I181" s="157"/>
      <c r="J181" s="153"/>
      <c r="K181" s="19"/>
    </row>
    <row r="182" spans="2:11" x14ac:dyDescent="0.25">
      <c r="B182" s="12"/>
      <c r="C182" s="228"/>
      <c r="D182" s="104"/>
      <c r="E182" s="19"/>
      <c r="F182" s="228"/>
      <c r="G182" s="103"/>
      <c r="H182" s="228"/>
      <c r="I182" s="24"/>
      <c r="J182" s="24"/>
      <c r="K182" s="19"/>
    </row>
    <row r="183" spans="2:11" x14ac:dyDescent="0.25">
      <c r="B183" s="327">
        <v>46244</v>
      </c>
      <c r="C183" s="278" t="s">
        <v>286</v>
      </c>
      <c r="D183" s="104">
        <f>'Greens Quantities '!C18</f>
        <v>2</v>
      </c>
      <c r="E183" s="22">
        <v>2</v>
      </c>
      <c r="F183" s="282" t="s">
        <v>232</v>
      </c>
      <c r="G183" s="22" t="s">
        <v>75</v>
      </c>
      <c r="H183" s="282">
        <v>11</v>
      </c>
      <c r="I183" s="24" t="s">
        <v>76</v>
      </c>
      <c r="J183" s="352" t="s">
        <v>26</v>
      </c>
      <c r="K183" s="19"/>
    </row>
    <row r="184" spans="2:11" x14ac:dyDescent="0.25">
      <c r="B184" s="327"/>
      <c r="C184" s="278" t="s">
        <v>239</v>
      </c>
      <c r="D184" s="104">
        <f>'Greens Quantities '!C38</f>
        <v>0.71</v>
      </c>
      <c r="E184" s="22">
        <v>2</v>
      </c>
      <c r="F184" s="282"/>
      <c r="G184" s="22"/>
      <c r="H184" s="282"/>
      <c r="I184" s="24"/>
      <c r="J184" s="24"/>
      <c r="K184" s="19"/>
    </row>
    <row r="185" spans="2:11" x14ac:dyDescent="0.25">
      <c r="B185" s="103"/>
      <c r="C185" s="319" t="s">
        <v>259</v>
      </c>
      <c r="D185" s="302">
        <f>'Greens Quantities '!C30</f>
        <v>0.14348025711662074</v>
      </c>
      <c r="E185" s="103">
        <v>2</v>
      </c>
      <c r="F185" s="303" t="s">
        <v>248</v>
      </c>
      <c r="G185" s="103" t="s">
        <v>260</v>
      </c>
      <c r="H185" s="303">
        <v>6</v>
      </c>
      <c r="I185" s="104"/>
      <c r="J185" s="126"/>
      <c r="K185" s="22"/>
    </row>
    <row r="186" spans="2:11" x14ac:dyDescent="0.25">
      <c r="B186" s="103"/>
      <c r="C186" s="303"/>
      <c r="D186" s="302"/>
      <c r="E186" s="103"/>
      <c r="F186" s="303"/>
      <c r="G186" s="103"/>
      <c r="H186" s="303"/>
      <c r="I186" s="104"/>
      <c r="J186" s="24"/>
      <c r="K186" s="19"/>
    </row>
    <row r="187" spans="2:11" x14ac:dyDescent="0.25">
      <c r="B187" s="353">
        <v>46248</v>
      </c>
      <c r="C187" s="281" t="s">
        <v>21</v>
      </c>
      <c r="D187" s="104">
        <f>'Greens Quantities '!C5</f>
        <v>0.5</v>
      </c>
      <c r="E187" s="22">
        <v>2</v>
      </c>
      <c r="F187" s="282" t="s">
        <v>232</v>
      </c>
      <c r="G187" s="22" t="s">
        <v>22</v>
      </c>
      <c r="H187" s="282">
        <v>29</v>
      </c>
      <c r="I187" s="157" t="s">
        <v>230</v>
      </c>
      <c r="J187" s="153" t="s">
        <v>66</v>
      </c>
      <c r="K187" s="19"/>
    </row>
    <row r="188" spans="2:11" x14ac:dyDescent="0.25">
      <c r="B188" s="103"/>
      <c r="C188" s="301" t="s">
        <v>80</v>
      </c>
      <c r="D188" s="104">
        <f>'Greens Quantities '!C15</f>
        <v>2</v>
      </c>
      <c r="E188" s="22">
        <v>2</v>
      </c>
      <c r="F188" s="282" t="s">
        <v>232</v>
      </c>
      <c r="G188" s="22" t="s">
        <v>282</v>
      </c>
      <c r="H188" s="282">
        <v>1</v>
      </c>
      <c r="I188" s="157" t="s">
        <v>237</v>
      </c>
      <c r="J188" s="318" t="s">
        <v>19</v>
      </c>
      <c r="K188" s="19"/>
    </row>
    <row r="189" spans="2:11" x14ac:dyDescent="0.25">
      <c r="B189" s="12"/>
      <c r="C189" s="299" t="s">
        <v>255</v>
      </c>
      <c r="D189" s="104">
        <f>'Greens Quantities '!C8</f>
        <v>1.9</v>
      </c>
      <c r="E189" s="22">
        <v>2</v>
      </c>
      <c r="F189" s="282" t="s">
        <v>232</v>
      </c>
      <c r="G189" s="19" t="s">
        <v>257</v>
      </c>
      <c r="H189" s="282" t="s">
        <v>205</v>
      </c>
      <c r="I189" s="157" t="s">
        <v>230</v>
      </c>
      <c r="J189" s="153" t="s">
        <v>66</v>
      </c>
      <c r="K189" s="19"/>
    </row>
    <row r="190" spans="2:11" x14ac:dyDescent="0.25">
      <c r="B190" s="22"/>
      <c r="C190" s="329" t="s">
        <v>250</v>
      </c>
      <c r="D190" s="306">
        <f>'Greens Quantities '!C41</f>
        <v>2.8000000000000001E-2</v>
      </c>
      <c r="E190" s="22">
        <v>2</v>
      </c>
      <c r="F190" s="22" t="s">
        <v>251</v>
      </c>
      <c r="G190" s="103" t="s">
        <v>252</v>
      </c>
      <c r="H190" s="22"/>
      <c r="I190" s="22"/>
      <c r="J190" s="22"/>
      <c r="K190" s="300"/>
    </row>
    <row r="191" spans="2:11" x14ac:dyDescent="0.25">
      <c r="B191" s="12"/>
      <c r="C191" s="947" t="s">
        <v>14</v>
      </c>
      <c r="D191" s="104">
        <f>'Greens Quantities '!C33</f>
        <v>0.125</v>
      </c>
      <c r="E191" s="22">
        <v>2</v>
      </c>
      <c r="F191" s="282" t="s">
        <v>270</v>
      </c>
      <c r="G191" s="306" t="s">
        <v>271</v>
      </c>
      <c r="H191" s="282"/>
      <c r="I191" s="157"/>
      <c r="J191" s="153"/>
      <c r="K191" s="19"/>
    </row>
    <row r="192" spans="2:11" x14ac:dyDescent="0.25">
      <c r="B192" s="12"/>
      <c r="C192" s="947" t="s">
        <v>50</v>
      </c>
      <c r="D192" s="104">
        <f>'Greens Quantities '!C34</f>
        <v>0.125</v>
      </c>
      <c r="E192" s="22">
        <v>2</v>
      </c>
      <c r="F192" s="282" t="s">
        <v>270</v>
      </c>
      <c r="G192" s="22" t="s">
        <v>272</v>
      </c>
      <c r="H192" s="282"/>
      <c r="I192" s="157"/>
      <c r="J192" s="153"/>
      <c r="K192" s="19"/>
    </row>
    <row r="193" spans="2:11" x14ac:dyDescent="0.25">
      <c r="B193" s="12"/>
      <c r="C193" s="228"/>
      <c r="D193" s="104"/>
      <c r="E193" s="19"/>
      <c r="F193" s="228"/>
      <c r="G193" s="103"/>
      <c r="H193" s="228"/>
      <c r="I193" s="24"/>
      <c r="J193" s="24"/>
      <c r="K193" s="22"/>
    </row>
    <row r="194" spans="2:11" x14ac:dyDescent="0.25">
      <c r="B194" s="280">
        <v>46251</v>
      </c>
      <c r="C194" s="278" t="s">
        <v>280</v>
      </c>
      <c r="D194" s="104">
        <f>'Greens Quantities '!C3</f>
        <v>2</v>
      </c>
      <c r="E194" s="19">
        <v>2</v>
      </c>
      <c r="F194" s="228" t="s">
        <v>244</v>
      </c>
      <c r="G194" s="19" t="s">
        <v>289</v>
      </c>
      <c r="H194" s="228">
        <v>28</v>
      </c>
      <c r="I194" s="24" t="s">
        <v>237</v>
      </c>
      <c r="J194" s="153" t="s">
        <v>66</v>
      </c>
      <c r="K194" s="19"/>
    </row>
    <row r="195" spans="2:11" x14ac:dyDescent="0.25">
      <c r="B195" s="280"/>
      <c r="C195" s="278" t="s">
        <v>239</v>
      </c>
      <c r="D195" s="104">
        <f>'Greens Quantities '!C38</f>
        <v>0.71</v>
      </c>
      <c r="E195" s="19">
        <v>2</v>
      </c>
      <c r="F195" s="228"/>
      <c r="G195" s="19"/>
      <c r="H195" s="228"/>
      <c r="I195" s="24"/>
      <c r="J195" s="24"/>
      <c r="K195" s="22"/>
    </row>
    <row r="196" spans="2:11" x14ac:dyDescent="0.25">
      <c r="B196" s="280"/>
      <c r="C196" s="228"/>
      <c r="D196" s="104"/>
      <c r="E196" s="19"/>
      <c r="F196" s="228"/>
      <c r="G196" s="19"/>
      <c r="H196" s="228"/>
      <c r="I196" s="101"/>
      <c r="J196" s="101"/>
      <c r="K196" s="19"/>
    </row>
    <row r="197" spans="2:11" x14ac:dyDescent="0.25">
      <c r="B197" s="280">
        <v>46253</v>
      </c>
      <c r="C197" s="329" t="s">
        <v>262</v>
      </c>
      <c r="D197" s="104">
        <f>'Greens Quantities '!O4</f>
        <v>2</v>
      </c>
      <c r="E197" s="19">
        <v>2</v>
      </c>
      <c r="F197" s="228"/>
      <c r="G197" s="19" t="s">
        <v>40</v>
      </c>
      <c r="H197" s="228"/>
      <c r="I197" s="101"/>
      <c r="J197" s="101"/>
      <c r="K197" s="19"/>
    </row>
    <row r="198" spans="2:11" x14ac:dyDescent="0.25">
      <c r="B198" s="280"/>
      <c r="C198" s="329" t="s">
        <v>264</v>
      </c>
      <c r="D198" s="104">
        <f>'Greens Quantities '!O3</f>
        <v>6</v>
      </c>
      <c r="E198" s="19">
        <v>2</v>
      </c>
      <c r="F198" s="228"/>
      <c r="G198" s="19" t="s">
        <v>85</v>
      </c>
      <c r="H198" s="228"/>
      <c r="I198" s="101"/>
      <c r="J198" s="101"/>
      <c r="K198" s="19" t="s">
        <v>263</v>
      </c>
    </row>
    <row r="199" spans="2:11" x14ac:dyDescent="0.25">
      <c r="B199" s="280"/>
      <c r="C199" s="228"/>
      <c r="D199" s="104"/>
      <c r="E199" s="19"/>
      <c r="F199" s="228"/>
      <c r="G199" s="19"/>
      <c r="H199" s="228"/>
      <c r="I199" s="101"/>
      <c r="J199" s="101"/>
      <c r="K199" s="19"/>
    </row>
    <row r="200" spans="2:11" x14ac:dyDescent="0.25">
      <c r="B200" s="280">
        <v>46255</v>
      </c>
      <c r="C200" s="299" t="s">
        <v>255</v>
      </c>
      <c r="D200" s="104">
        <f>'Greens Quantities '!C8</f>
        <v>1.9</v>
      </c>
      <c r="E200" s="22">
        <v>2</v>
      </c>
      <c r="F200" s="282" t="s">
        <v>290</v>
      </c>
      <c r="G200" s="22" t="s">
        <v>257</v>
      </c>
      <c r="H200" s="282">
        <v>33</v>
      </c>
      <c r="I200" s="315" t="s">
        <v>258</v>
      </c>
      <c r="J200" s="316" t="s">
        <v>66</v>
      </c>
      <c r="K200" s="19"/>
    </row>
    <row r="201" spans="2:11" x14ac:dyDescent="0.25">
      <c r="B201" s="22"/>
      <c r="C201" s="329" t="s">
        <v>250</v>
      </c>
      <c r="D201" s="306">
        <f>'Greens Quantities '!C41</f>
        <v>2.8000000000000001E-2</v>
      </c>
      <c r="E201" s="22">
        <v>2</v>
      </c>
      <c r="F201" s="22" t="s">
        <v>251</v>
      </c>
      <c r="G201" s="103" t="s">
        <v>252</v>
      </c>
      <c r="H201" s="22"/>
      <c r="I201" s="22"/>
      <c r="J201" s="22"/>
      <c r="K201" s="300"/>
    </row>
    <row r="202" spans="2:11" x14ac:dyDescent="0.25">
      <c r="B202" s="22"/>
      <c r="C202" s="281" t="s">
        <v>86</v>
      </c>
      <c r="D202" s="279">
        <v>2.4</v>
      </c>
      <c r="E202" s="22">
        <v>2</v>
      </c>
      <c r="F202" s="282"/>
      <c r="G202" s="103" t="s">
        <v>291</v>
      </c>
      <c r="H202" s="282"/>
      <c r="I202" s="315"/>
      <c r="J202" s="315"/>
      <c r="K202" s="959"/>
    </row>
    <row r="203" spans="2:11" x14ac:dyDescent="0.25">
      <c r="B203" s="12"/>
      <c r="C203" s="947" t="s">
        <v>14</v>
      </c>
      <c r="D203" s="104">
        <f>'Greens Quantities '!C33</f>
        <v>0.125</v>
      </c>
      <c r="E203" s="22">
        <v>2</v>
      </c>
      <c r="F203" s="282" t="s">
        <v>270</v>
      </c>
      <c r="G203" s="22" t="s">
        <v>271</v>
      </c>
      <c r="H203" s="282"/>
      <c r="I203" s="315"/>
      <c r="J203" s="316"/>
      <c r="K203" s="100"/>
    </row>
    <row r="204" spans="2:11" x14ac:dyDescent="0.25">
      <c r="B204" s="12"/>
      <c r="C204" s="947" t="s">
        <v>50</v>
      </c>
      <c r="D204" s="104">
        <f>'Greens Quantities '!C34</f>
        <v>0.125</v>
      </c>
      <c r="E204" s="22">
        <v>2</v>
      </c>
      <c r="F204" s="282" t="s">
        <v>270</v>
      </c>
      <c r="G204" s="22" t="s">
        <v>272</v>
      </c>
      <c r="H204" s="282"/>
      <c r="I204" s="315"/>
      <c r="J204" s="316"/>
      <c r="K204" s="100"/>
    </row>
    <row r="205" spans="2:11" x14ac:dyDescent="0.25">
      <c r="B205" s="12"/>
      <c r="C205" s="228"/>
      <c r="D205" s="104"/>
      <c r="E205" s="19"/>
      <c r="F205" s="228"/>
      <c r="G205" s="19"/>
      <c r="H205" s="228"/>
      <c r="I205" s="101"/>
      <c r="J205" s="101"/>
      <c r="K205" s="161"/>
    </row>
    <row r="206" spans="2:11" x14ac:dyDescent="0.25">
      <c r="B206" s="280">
        <v>46258</v>
      </c>
      <c r="C206" s="278" t="s">
        <v>243</v>
      </c>
      <c r="D206" s="104">
        <v>0.9</v>
      </c>
      <c r="E206" s="19">
        <v>2</v>
      </c>
      <c r="F206" s="228" t="s">
        <v>244</v>
      </c>
      <c r="G206" s="22" t="s">
        <v>245</v>
      </c>
      <c r="H206" s="282">
        <v>21</v>
      </c>
      <c r="I206" s="19" t="s">
        <v>246</v>
      </c>
      <c r="J206" s="27" t="s">
        <v>26</v>
      </c>
      <c r="K206" s="161"/>
    </row>
    <row r="207" spans="2:11" x14ac:dyDescent="0.25">
      <c r="B207" s="280"/>
      <c r="C207" s="333" t="s">
        <v>32</v>
      </c>
      <c r="D207" s="274">
        <f>'Greens Quantities '!C37</f>
        <v>1.5</v>
      </c>
      <c r="E207" s="19">
        <v>2</v>
      </c>
      <c r="F207" s="228"/>
      <c r="G207" s="22"/>
      <c r="H207" s="282"/>
      <c r="I207" s="19"/>
      <c r="J207" s="27"/>
      <c r="K207" s="161"/>
    </row>
    <row r="208" spans="2:11" x14ac:dyDescent="0.25">
      <c r="B208" s="280"/>
      <c r="C208" s="333" t="s">
        <v>239</v>
      </c>
      <c r="D208" s="274">
        <f>'Greens Quantities '!C38</f>
        <v>0.71</v>
      </c>
      <c r="E208" s="19">
        <v>2</v>
      </c>
      <c r="F208" s="228"/>
      <c r="G208" s="22"/>
      <c r="H208" s="282"/>
      <c r="I208" s="120"/>
      <c r="J208" s="120"/>
      <c r="K208" s="79"/>
    </row>
    <row r="209" spans="2:11" x14ac:dyDescent="0.25">
      <c r="B209" s="280"/>
      <c r="C209" s="227"/>
      <c r="D209" s="274"/>
      <c r="E209" s="19"/>
      <c r="F209" s="228"/>
      <c r="G209" s="19"/>
      <c r="H209" s="228"/>
      <c r="I209" s="120"/>
      <c r="J209" s="120"/>
      <c r="K209" s="119"/>
    </row>
    <row r="210" spans="2:11" x14ac:dyDescent="0.25">
      <c r="B210" s="280">
        <v>46262</v>
      </c>
      <c r="C210" s="281" t="s">
        <v>21</v>
      </c>
      <c r="D210" s="104">
        <f>'Greens Quantities '!C5</f>
        <v>0.5</v>
      </c>
      <c r="E210" s="22">
        <v>2</v>
      </c>
      <c r="F210" s="282" t="s">
        <v>232</v>
      </c>
      <c r="G210" s="22" t="s">
        <v>22</v>
      </c>
      <c r="H210" s="282">
        <v>29</v>
      </c>
      <c r="I210" s="312" t="s">
        <v>230</v>
      </c>
      <c r="J210" s="313" t="s">
        <v>66</v>
      </c>
      <c r="K210" s="308"/>
    </row>
    <row r="211" spans="2:11" x14ac:dyDescent="0.25">
      <c r="B211" s="12"/>
      <c r="C211" s="299" t="s">
        <v>255</v>
      </c>
      <c r="D211" s="320">
        <f>'Greens Quantities '!C8</f>
        <v>1.9</v>
      </c>
      <c r="E211" s="100">
        <v>2</v>
      </c>
      <c r="F211" s="229" t="s">
        <v>256</v>
      </c>
      <c r="G211" s="100" t="s">
        <v>257</v>
      </c>
      <c r="H211" s="229">
        <v>33</v>
      </c>
      <c r="I211" s="101" t="s">
        <v>258</v>
      </c>
      <c r="J211" s="316" t="s">
        <v>66</v>
      </c>
      <c r="K211" s="100"/>
    </row>
    <row r="212" spans="2:11" x14ac:dyDescent="0.25">
      <c r="B212" s="22"/>
      <c r="C212" s="329" t="s">
        <v>250</v>
      </c>
      <c r="D212" s="306">
        <f>'Greens Quantities '!C41</f>
        <v>2.8000000000000001E-2</v>
      </c>
      <c r="E212" s="22">
        <v>2</v>
      </c>
      <c r="F212" s="22" t="s">
        <v>251</v>
      </c>
      <c r="G212" s="103" t="s">
        <v>252</v>
      </c>
      <c r="H212" s="22"/>
      <c r="I212" s="22"/>
      <c r="J212" s="22"/>
      <c r="K212" s="119"/>
    </row>
    <row r="213" spans="2:11" x14ac:dyDescent="0.25">
      <c r="B213" s="280"/>
      <c r="C213" s="947" t="s">
        <v>14</v>
      </c>
      <c r="D213" s="104">
        <f>'Greens Quantities '!C33</f>
        <v>0.125</v>
      </c>
      <c r="E213" s="22">
        <v>2</v>
      </c>
      <c r="F213" s="282" t="s">
        <v>270</v>
      </c>
      <c r="G213" s="22" t="s">
        <v>271</v>
      </c>
      <c r="H213" s="282"/>
      <c r="I213" s="312"/>
      <c r="J213" s="313"/>
      <c r="K213" s="119"/>
    </row>
    <row r="214" spans="2:11" x14ac:dyDescent="0.25">
      <c r="B214" s="280"/>
      <c r="C214" s="947" t="s">
        <v>50</v>
      </c>
      <c r="D214" s="104">
        <f>'Greens Quantities '!C34</f>
        <v>0.125</v>
      </c>
      <c r="E214" s="22">
        <v>2</v>
      </c>
      <c r="F214" s="282" t="s">
        <v>270</v>
      </c>
      <c r="G214" s="22" t="s">
        <v>272</v>
      </c>
      <c r="H214" s="282"/>
      <c r="I214" s="312"/>
      <c r="J214" s="313"/>
      <c r="K214" s="119"/>
    </row>
    <row r="215" spans="2:11" x14ac:dyDescent="0.25">
      <c r="B215" s="280"/>
      <c r="C215" s="228"/>
      <c r="D215" s="104"/>
      <c r="E215" s="19"/>
      <c r="F215" s="228"/>
      <c r="G215" s="19"/>
      <c r="H215" s="228"/>
      <c r="I215" s="120"/>
      <c r="J215" s="120"/>
      <c r="K215" s="128"/>
    </row>
    <row r="216" spans="2:11" x14ac:dyDescent="0.25">
      <c r="B216" s="280">
        <v>46265</v>
      </c>
      <c r="C216" s="963" t="s">
        <v>266</v>
      </c>
      <c r="D216" s="325">
        <f>'Greens Quantities '!C10</f>
        <v>0.85</v>
      </c>
      <c r="E216" s="128">
        <v>2</v>
      </c>
      <c r="F216" s="128" t="s">
        <v>232</v>
      </c>
      <c r="G216" s="22" t="s">
        <v>267</v>
      </c>
      <c r="H216" s="282" t="s">
        <v>49</v>
      </c>
      <c r="I216" s="24" t="s">
        <v>258</v>
      </c>
      <c r="J216" s="289" t="s">
        <v>26</v>
      </c>
      <c r="K216" s="119" t="s">
        <v>268</v>
      </c>
    </row>
    <row r="217" spans="2:11" x14ac:dyDescent="0.25">
      <c r="B217" s="12"/>
      <c r="C217" s="319" t="s">
        <v>259</v>
      </c>
      <c r="D217" s="302">
        <f>'Greens Quantities '!C30</f>
        <v>0.14348025711662074</v>
      </c>
      <c r="E217" s="103">
        <v>2</v>
      </c>
      <c r="F217" s="303" t="s">
        <v>248</v>
      </c>
      <c r="G217" s="103" t="s">
        <v>260</v>
      </c>
      <c r="H217" s="303">
        <v>6</v>
      </c>
      <c r="I217" s="104"/>
      <c r="J217" s="348"/>
      <c r="K217" s="22"/>
    </row>
    <row r="218" spans="2:11" x14ac:dyDescent="0.25">
      <c r="B218" s="12"/>
      <c r="C218" s="355" t="s">
        <v>239</v>
      </c>
      <c r="D218" s="217">
        <f>'Greens Quantities '!C38</f>
        <v>0.71</v>
      </c>
      <c r="E218" s="128">
        <v>2</v>
      </c>
      <c r="F218" s="349"/>
      <c r="G218" s="128"/>
      <c r="H218" s="732"/>
      <c r="I218" s="129"/>
      <c r="J218" s="19"/>
      <c r="K218" s="949"/>
    </row>
    <row r="219" spans="2:11" x14ac:dyDescent="0.25">
      <c r="B219" s="961"/>
      <c r="C219" s="619"/>
      <c r="D219" s="619"/>
      <c r="E219" s="619"/>
      <c r="F219" s="619"/>
      <c r="G219" s="619"/>
      <c r="H219" s="619"/>
      <c r="I219" s="619"/>
      <c r="J219" s="619"/>
      <c r="K219" s="619"/>
    </row>
    <row r="220" spans="2:11" x14ac:dyDescent="0.25">
      <c r="B220" s="957">
        <v>46267</v>
      </c>
      <c r="C220" s="967" t="s">
        <v>262</v>
      </c>
      <c r="D220" s="950">
        <f>'Greens Quantities '!O4</f>
        <v>2</v>
      </c>
      <c r="E220" s="950">
        <v>2</v>
      </c>
      <c r="F220" s="950"/>
      <c r="G220" s="950" t="s">
        <v>40</v>
      </c>
      <c r="H220" s="12"/>
      <c r="I220" s="12"/>
      <c r="J220" s="12"/>
      <c r="K220" s="12" t="s">
        <v>263</v>
      </c>
    </row>
    <row r="221" spans="2:11" x14ac:dyDescent="0.25">
      <c r="B221" s="12"/>
      <c r="C221" s="967" t="s">
        <v>264</v>
      </c>
      <c r="D221" s="950">
        <f>'Greens Quantities '!O3</f>
        <v>6</v>
      </c>
      <c r="E221" s="950">
        <v>2</v>
      </c>
      <c r="F221" s="950"/>
      <c r="G221" s="950" t="s">
        <v>85</v>
      </c>
      <c r="H221" s="12"/>
      <c r="I221" s="12"/>
      <c r="J221" s="12"/>
    </row>
    <row r="222" spans="2:11" x14ac:dyDescent="0.25">
      <c r="B222" s="12"/>
      <c r="C222" s="591"/>
      <c r="D222" s="12"/>
      <c r="E222" s="12"/>
      <c r="F222" s="12"/>
      <c r="G222" s="12"/>
      <c r="H222" s="12"/>
      <c r="I222" s="12"/>
      <c r="J222" s="12"/>
      <c r="K222" s="12"/>
    </row>
    <row r="223" spans="2:11" x14ac:dyDescent="0.25">
      <c r="B223" s="280">
        <v>46269</v>
      </c>
      <c r="C223" s="309" t="s">
        <v>240</v>
      </c>
      <c r="D223" s="274">
        <f>'Greens Quantities '!C6</f>
        <v>4</v>
      </c>
      <c r="E223" s="310">
        <v>2</v>
      </c>
      <c r="F223" s="311" t="s">
        <v>241</v>
      </c>
      <c r="G223" s="310" t="s">
        <v>292</v>
      </c>
      <c r="H223" s="311">
        <v>2</v>
      </c>
      <c r="I223" s="312" t="s">
        <v>246</v>
      </c>
      <c r="J223" s="354" t="s">
        <v>26</v>
      </c>
      <c r="K223" s="12"/>
    </row>
    <row r="224" spans="2:11" x14ac:dyDescent="0.25">
      <c r="B224" s="12"/>
      <c r="C224" s="299" t="s">
        <v>255</v>
      </c>
      <c r="D224" s="104">
        <f>'Greens Quantities '!C8</f>
        <v>1.9</v>
      </c>
      <c r="E224" s="22">
        <v>2</v>
      </c>
      <c r="F224" s="282" t="s">
        <v>290</v>
      </c>
      <c r="G224" s="22" t="s">
        <v>257</v>
      </c>
      <c r="H224" s="282">
        <v>33</v>
      </c>
      <c r="I224" s="157" t="s">
        <v>258</v>
      </c>
      <c r="J224" s="153" t="s">
        <v>66</v>
      </c>
      <c r="K224" s="19"/>
    </row>
    <row r="225" spans="2:11" x14ac:dyDescent="0.25">
      <c r="B225" s="22"/>
      <c r="C225" s="329" t="s">
        <v>250</v>
      </c>
      <c r="D225" s="306">
        <f>'Greens Quantities '!C41</f>
        <v>2.8000000000000001E-2</v>
      </c>
      <c r="E225" s="22">
        <v>2</v>
      </c>
      <c r="F225" s="22" t="s">
        <v>251</v>
      </c>
      <c r="G225" s="103" t="s">
        <v>252</v>
      </c>
      <c r="H225" s="22"/>
      <c r="I225" s="22"/>
      <c r="J225" s="22"/>
      <c r="K225" s="300"/>
    </row>
    <row r="226" spans="2:11" x14ac:dyDescent="0.25">
      <c r="B226" s="12"/>
      <c r="C226" s="947" t="s">
        <v>14</v>
      </c>
      <c r="D226" s="104">
        <f>'Greens Quantities '!C33</f>
        <v>0.125</v>
      </c>
      <c r="E226" s="22">
        <v>2</v>
      </c>
      <c r="F226" s="282" t="s">
        <v>270</v>
      </c>
      <c r="G226" s="22" t="s">
        <v>271</v>
      </c>
      <c r="H226" s="282"/>
      <c r="I226" s="157"/>
      <c r="J226" s="153"/>
      <c r="K226" s="19"/>
    </row>
    <row r="227" spans="2:11" x14ac:dyDescent="0.25">
      <c r="B227" s="12"/>
      <c r="C227" s="947" t="s">
        <v>50</v>
      </c>
      <c r="D227" s="104">
        <f>'Greens Quantities '!C34</f>
        <v>0.125</v>
      </c>
      <c r="E227" s="22">
        <v>2</v>
      </c>
      <c r="F227" s="282" t="s">
        <v>270</v>
      </c>
      <c r="G227" s="22" t="s">
        <v>272</v>
      </c>
      <c r="H227" s="282"/>
      <c r="I227" s="157"/>
      <c r="J227" s="153"/>
      <c r="K227" s="19"/>
    </row>
    <row r="228" spans="2:11" x14ac:dyDescent="0.25">
      <c r="B228" s="12"/>
      <c r="C228" s="227"/>
      <c r="D228" s="274"/>
      <c r="E228" s="19"/>
      <c r="F228" s="228"/>
      <c r="G228" s="19"/>
      <c r="H228" s="228"/>
      <c r="I228" s="24"/>
      <c r="J228" s="24"/>
      <c r="K228" s="19"/>
    </row>
    <row r="229" spans="2:11" x14ac:dyDescent="0.25">
      <c r="B229" s="280">
        <v>46272</v>
      </c>
      <c r="C229" s="333" t="s">
        <v>32</v>
      </c>
      <c r="D229" s="274">
        <f>'Greens Quantities '!C37</f>
        <v>1.5</v>
      </c>
      <c r="E229" s="22">
        <v>2</v>
      </c>
      <c r="F229" s="282"/>
      <c r="G229" s="22"/>
      <c r="H229" s="282"/>
      <c r="I229" s="157"/>
      <c r="J229" s="153"/>
      <c r="K229" s="19"/>
    </row>
    <row r="230" spans="2:11" x14ac:dyDescent="0.25">
      <c r="B230" s="280"/>
      <c r="C230" s="333" t="s">
        <v>239</v>
      </c>
      <c r="D230" s="274">
        <f>'Greens Quantities '!C38</f>
        <v>0.71</v>
      </c>
      <c r="E230" s="22">
        <v>2</v>
      </c>
      <c r="F230" s="282"/>
      <c r="G230" s="22"/>
      <c r="H230" s="282"/>
      <c r="I230" s="157"/>
      <c r="J230" s="24"/>
      <c r="K230" s="19"/>
    </row>
    <row r="231" spans="2:11" x14ac:dyDescent="0.25">
      <c r="B231" s="280"/>
      <c r="C231" s="227"/>
      <c r="D231" s="274"/>
      <c r="E231" s="19"/>
      <c r="F231" s="228"/>
      <c r="G231" s="19"/>
      <c r="H231" s="228"/>
      <c r="I231" s="24"/>
      <c r="J231" s="24"/>
      <c r="K231" s="19"/>
    </row>
    <row r="232" spans="2:11" x14ac:dyDescent="0.25">
      <c r="B232" s="280">
        <v>46276</v>
      </c>
      <c r="C232" s="281" t="s">
        <v>21</v>
      </c>
      <c r="D232" s="104">
        <f>'Greens Quantities '!C5</f>
        <v>0.5</v>
      </c>
      <c r="E232" s="22">
        <v>2</v>
      </c>
      <c r="F232" s="282" t="s">
        <v>232</v>
      </c>
      <c r="G232" s="22" t="s">
        <v>22</v>
      </c>
      <c r="H232" s="282">
        <v>29</v>
      </c>
      <c r="I232" s="157" t="s">
        <v>230</v>
      </c>
      <c r="J232" s="153" t="s">
        <v>66</v>
      </c>
      <c r="K232" s="100"/>
    </row>
    <row r="233" spans="2:11" x14ac:dyDescent="0.25">
      <c r="B233" s="12"/>
      <c r="C233" s="299" t="s">
        <v>255</v>
      </c>
      <c r="D233" s="104">
        <f>'Greens Quantities '!C8</f>
        <v>1.9</v>
      </c>
      <c r="E233" s="22">
        <v>2</v>
      </c>
      <c r="F233" s="282" t="s">
        <v>232</v>
      </c>
      <c r="G233" s="19" t="s">
        <v>257</v>
      </c>
      <c r="H233" s="282" t="s">
        <v>205</v>
      </c>
      <c r="I233" s="157" t="s">
        <v>230</v>
      </c>
      <c r="J233" s="153" t="s">
        <v>66</v>
      </c>
      <c r="K233" s="328"/>
    </row>
    <row r="234" spans="2:11" x14ac:dyDescent="0.25">
      <c r="B234" s="12"/>
      <c r="C234" s="955" t="s">
        <v>84</v>
      </c>
      <c r="D234" s="104">
        <f>'Greens Quantities '!C11</f>
        <v>4.0999999999999996</v>
      </c>
      <c r="E234" s="954">
        <v>2</v>
      </c>
      <c r="F234" s="307" t="s">
        <v>232</v>
      </c>
      <c r="G234" s="103" t="s">
        <v>85</v>
      </c>
      <c r="H234" s="953" t="s">
        <v>293</v>
      </c>
      <c r="I234" s="279" t="s">
        <v>230</v>
      </c>
      <c r="J234" s="952" t="s">
        <v>66</v>
      </c>
      <c r="K234" s="119"/>
    </row>
    <row r="235" spans="2:11" x14ac:dyDescent="0.25">
      <c r="B235" s="22"/>
      <c r="C235" s="329" t="s">
        <v>250</v>
      </c>
      <c r="D235" s="306">
        <f>'Greens Quantities '!C41</f>
        <v>2.8000000000000001E-2</v>
      </c>
      <c r="E235" s="22">
        <v>2</v>
      </c>
      <c r="F235" s="22" t="s">
        <v>251</v>
      </c>
      <c r="G235" s="103" t="s">
        <v>252</v>
      </c>
      <c r="H235" s="22"/>
      <c r="I235" s="22"/>
      <c r="J235" s="22"/>
      <c r="K235" s="951"/>
    </row>
    <row r="236" spans="2:11" x14ac:dyDescent="0.25">
      <c r="B236" s="12"/>
      <c r="C236" s="947" t="s">
        <v>14</v>
      </c>
      <c r="D236" s="104">
        <f>'Greens Quantities '!C33</f>
        <v>0.125</v>
      </c>
      <c r="E236" s="306">
        <v>2</v>
      </c>
      <c r="F236" s="282" t="s">
        <v>270</v>
      </c>
      <c r="G236" s="306" t="s">
        <v>271</v>
      </c>
      <c r="H236" s="282"/>
      <c r="I236" s="157"/>
      <c r="J236" s="999"/>
      <c r="K236" s="328"/>
    </row>
    <row r="237" spans="2:11" x14ac:dyDescent="0.25">
      <c r="B237" s="12"/>
      <c r="C237" s="947" t="s">
        <v>50</v>
      </c>
      <c r="D237" s="104">
        <f>'Greens Quantities '!C34</f>
        <v>0.125</v>
      </c>
      <c r="E237" s="22">
        <v>2</v>
      </c>
      <c r="F237" s="282" t="s">
        <v>270</v>
      </c>
      <c r="G237" s="22" t="s">
        <v>272</v>
      </c>
      <c r="H237" s="282"/>
      <c r="I237" s="157"/>
      <c r="J237" s="999"/>
      <c r="K237" s="328"/>
    </row>
    <row r="238" spans="2:11" x14ac:dyDescent="0.25">
      <c r="B238" s="12"/>
      <c r="C238" s="229"/>
      <c r="D238" s="320"/>
      <c r="E238" s="945"/>
      <c r="F238" s="228"/>
      <c r="G238" s="103"/>
      <c r="H238" s="228"/>
      <c r="I238" s="24"/>
      <c r="J238" s="19"/>
      <c r="K238" s="100"/>
    </row>
    <row r="239" spans="2:11" x14ac:dyDescent="0.25">
      <c r="B239" s="280">
        <v>46283</v>
      </c>
      <c r="C239" s="281" t="s">
        <v>39</v>
      </c>
      <c r="D239" s="104">
        <f>'Greens Quantities '!C4</f>
        <v>2</v>
      </c>
      <c r="E239" s="22">
        <v>2</v>
      </c>
      <c r="F239" s="282" t="s">
        <v>232</v>
      </c>
      <c r="G239" s="22" t="s">
        <v>40</v>
      </c>
      <c r="H239" s="282" t="s">
        <v>205</v>
      </c>
      <c r="I239" s="157" t="s">
        <v>230</v>
      </c>
      <c r="J239" s="153" t="s">
        <v>66</v>
      </c>
      <c r="K239" s="119"/>
    </row>
    <row r="240" spans="2:11" x14ac:dyDescent="0.25">
      <c r="B240" s="22"/>
      <c r="C240" s="329" t="s">
        <v>250</v>
      </c>
      <c r="D240" s="306">
        <f>'Greens Quantities '!C41</f>
        <v>2.8000000000000001E-2</v>
      </c>
      <c r="E240" s="22">
        <v>2</v>
      </c>
      <c r="F240" s="22" t="s">
        <v>251</v>
      </c>
      <c r="G240" s="103" t="s">
        <v>252</v>
      </c>
      <c r="H240" s="22"/>
      <c r="I240" s="22"/>
      <c r="J240" s="22"/>
      <c r="K240" s="300"/>
    </row>
    <row r="241" spans="2:11" x14ac:dyDescent="0.25">
      <c r="B241" s="280"/>
      <c r="C241" s="972" t="s">
        <v>14</v>
      </c>
      <c r="D241" s="320">
        <f>'Greens Quantities '!C33</f>
        <v>0.125</v>
      </c>
      <c r="E241" s="328">
        <v>2</v>
      </c>
      <c r="F241" s="314" t="s">
        <v>270</v>
      </c>
      <c r="G241" s="328" t="s">
        <v>271</v>
      </c>
      <c r="H241" s="314"/>
      <c r="I241" s="315"/>
      <c r="J241" s="316"/>
      <c r="K241" s="958"/>
    </row>
    <row r="242" spans="2:11" x14ac:dyDescent="0.25">
      <c r="B242" s="280"/>
      <c r="C242" s="947" t="s">
        <v>50</v>
      </c>
      <c r="D242" s="104">
        <f>'Greens Quantities '!C34</f>
        <v>0.125</v>
      </c>
      <c r="E242" s="22">
        <v>2</v>
      </c>
      <c r="F242" s="282" t="s">
        <v>270</v>
      </c>
      <c r="G242" s="22" t="s">
        <v>272</v>
      </c>
      <c r="H242" s="314"/>
      <c r="I242" s="315"/>
      <c r="J242" s="316"/>
      <c r="K242" s="958"/>
    </row>
    <row r="243" spans="2:11" x14ac:dyDescent="0.25">
      <c r="B243" s="12"/>
      <c r="C243" s="591"/>
      <c r="D243" s="12"/>
      <c r="E243" s="12"/>
      <c r="F243" s="12"/>
      <c r="G243" s="12"/>
      <c r="H243" s="12"/>
      <c r="I243" s="12"/>
      <c r="J243" s="12"/>
      <c r="K243" s="12"/>
    </row>
    <row r="244" spans="2:11" x14ac:dyDescent="0.25">
      <c r="B244" s="280">
        <v>46286</v>
      </c>
      <c r="C244" s="323" t="s">
        <v>273</v>
      </c>
      <c r="D244" s="1001">
        <f>'Greens Quantities '!C14</f>
        <v>0.6</v>
      </c>
      <c r="E244" s="308">
        <v>2</v>
      </c>
      <c r="F244" s="332" t="s">
        <v>274</v>
      </c>
      <c r="G244" s="332" t="s">
        <v>275</v>
      </c>
      <c r="H244" s="332" t="s">
        <v>276</v>
      </c>
      <c r="I244" s="80"/>
      <c r="J244" s="79"/>
      <c r="K244" s="119"/>
    </row>
    <row r="245" spans="2:11" x14ac:dyDescent="0.25">
      <c r="B245" s="280"/>
      <c r="C245" s="355" t="s">
        <v>90</v>
      </c>
      <c r="D245" s="104">
        <v>0.26</v>
      </c>
      <c r="E245" s="22">
        <v>2</v>
      </c>
      <c r="F245" s="282"/>
      <c r="G245" s="22" t="s">
        <v>91</v>
      </c>
      <c r="H245" s="282">
        <v>7</v>
      </c>
      <c r="I245" s="157"/>
      <c r="J245" s="1000" t="s">
        <v>19</v>
      </c>
      <c r="K245" s="12" t="s">
        <v>72</v>
      </c>
    </row>
    <row r="246" spans="2:11" x14ac:dyDescent="0.25">
      <c r="B246" s="280"/>
      <c r="C246" s="355" t="s">
        <v>239</v>
      </c>
      <c r="D246" s="104">
        <f>'Greens Quantities '!C38</f>
        <v>0.71</v>
      </c>
      <c r="E246" s="22">
        <v>2</v>
      </c>
      <c r="F246" s="282"/>
      <c r="G246" s="22"/>
      <c r="H246" s="282"/>
      <c r="I246" s="157"/>
      <c r="J246" s="24"/>
      <c r="K246" s="730" t="s">
        <v>18</v>
      </c>
    </row>
    <row r="247" spans="2:11" x14ac:dyDescent="0.25">
      <c r="B247" s="280"/>
      <c r="C247" s="228"/>
      <c r="D247" s="104"/>
      <c r="E247" s="22"/>
      <c r="F247" s="282"/>
      <c r="G247" s="22"/>
      <c r="H247" s="282"/>
      <c r="I247" s="157"/>
      <c r="J247" s="24"/>
      <c r="K247" s="730"/>
    </row>
    <row r="248" spans="2:11" x14ac:dyDescent="0.25">
      <c r="B248" s="280">
        <v>46290</v>
      </c>
      <c r="C248" s="281" t="s">
        <v>21</v>
      </c>
      <c r="D248" s="104">
        <f>'Greens Quantities '!C5</f>
        <v>0.5</v>
      </c>
      <c r="E248" s="22">
        <v>2</v>
      </c>
      <c r="F248" s="282" t="s">
        <v>232</v>
      </c>
      <c r="G248" s="22" t="s">
        <v>22</v>
      </c>
      <c r="H248" s="282">
        <v>29</v>
      </c>
      <c r="I248" s="157" t="s">
        <v>230</v>
      </c>
      <c r="J248" s="1002"/>
      <c r="K248" s="730"/>
    </row>
    <row r="249" spans="2:11" x14ac:dyDescent="0.25">
      <c r="B249" s="280"/>
      <c r="C249" s="281" t="s">
        <v>250</v>
      </c>
      <c r="D249" s="306">
        <f>'Greens Quantities '!C41</f>
        <v>2.8000000000000001E-2</v>
      </c>
      <c r="E249" s="22"/>
      <c r="F249" s="282" t="s">
        <v>251</v>
      </c>
      <c r="G249" s="22" t="s">
        <v>252</v>
      </c>
      <c r="H249" s="282"/>
      <c r="I249" s="157"/>
      <c r="J249" s="24"/>
      <c r="K249" s="730"/>
    </row>
    <row r="250" spans="2:11" x14ac:dyDescent="0.25">
      <c r="B250" s="280"/>
      <c r="C250" s="972" t="s">
        <v>14</v>
      </c>
      <c r="D250" s="104">
        <f>'Greens Quantities '!C33</f>
        <v>0.125</v>
      </c>
      <c r="E250" s="22"/>
      <c r="F250" s="282" t="s">
        <v>270</v>
      </c>
      <c r="G250" s="22" t="s">
        <v>271</v>
      </c>
      <c r="H250" s="282"/>
      <c r="I250" s="157"/>
      <c r="J250" s="1002"/>
      <c r="K250" s="730"/>
    </row>
    <row r="251" spans="2:11" x14ac:dyDescent="0.25">
      <c r="B251" s="280"/>
      <c r="C251" s="972" t="s">
        <v>50</v>
      </c>
      <c r="D251" s="104">
        <f>'Greens Quantities '!C34</f>
        <v>0.125</v>
      </c>
      <c r="E251" s="22">
        <v>2</v>
      </c>
      <c r="F251" s="282"/>
      <c r="G251" s="22"/>
      <c r="H251" s="282"/>
      <c r="I251" s="157"/>
      <c r="J251" s="1002"/>
      <c r="K251" s="730"/>
    </row>
    <row r="252" spans="2:11" x14ac:dyDescent="0.25">
      <c r="B252" s="284"/>
      <c r="C252" s="285"/>
      <c r="D252" s="286"/>
      <c r="E252" s="287"/>
      <c r="F252" s="285"/>
      <c r="G252" s="287"/>
      <c r="H252" s="285"/>
      <c r="I252" s="288"/>
      <c r="J252" s="288"/>
      <c r="K252" s="336"/>
    </row>
    <row r="253" spans="2:11" x14ac:dyDescent="0.25">
      <c r="B253" s="356">
        <v>46296</v>
      </c>
      <c r="C253" s="278" t="s">
        <v>280</v>
      </c>
      <c r="D253" s="104">
        <f>'Greens Quantities '!C3</f>
        <v>2</v>
      </c>
      <c r="E253" s="19">
        <v>2</v>
      </c>
      <c r="F253" s="228" t="s">
        <v>244</v>
      </c>
      <c r="G253" s="19" t="s">
        <v>289</v>
      </c>
      <c r="H253" s="228">
        <v>28</v>
      </c>
      <c r="I253" s="24" t="s">
        <v>237</v>
      </c>
      <c r="J253" s="153" t="s">
        <v>66</v>
      </c>
      <c r="K253" s="22"/>
    </row>
    <row r="254" spans="2:11" x14ac:dyDescent="0.25">
      <c r="B254" s="356"/>
      <c r="C254" s="278" t="s">
        <v>239</v>
      </c>
      <c r="D254" s="104">
        <f>'Greens Quantities '!C38</f>
        <v>0.71</v>
      </c>
      <c r="E254" s="19">
        <v>2</v>
      </c>
      <c r="F254" s="228"/>
      <c r="G254" s="19"/>
      <c r="H254" s="228"/>
      <c r="I254" s="24"/>
      <c r="J254" s="24"/>
      <c r="K254" s="22"/>
    </row>
    <row r="255" spans="2:11" x14ac:dyDescent="0.25">
      <c r="B255" s="280"/>
      <c r="C255" s="228"/>
      <c r="D255" s="104"/>
      <c r="E255" s="19"/>
      <c r="F255" s="228"/>
      <c r="G255" s="19"/>
      <c r="H255" s="228"/>
      <c r="I255" s="24"/>
      <c r="J255" s="24"/>
      <c r="K255" s="22"/>
    </row>
    <row r="256" spans="2:11" x14ac:dyDescent="0.25">
      <c r="B256" s="280">
        <v>46304</v>
      </c>
      <c r="C256" s="281" t="s">
        <v>21</v>
      </c>
      <c r="D256" s="104">
        <f>'Greens Quantities '!C5</f>
        <v>0.5</v>
      </c>
      <c r="E256" s="22">
        <v>2</v>
      </c>
      <c r="F256" s="282" t="s">
        <v>232</v>
      </c>
      <c r="G256" s="22" t="s">
        <v>22</v>
      </c>
      <c r="H256" s="282">
        <v>29</v>
      </c>
      <c r="I256" s="157" t="s">
        <v>230</v>
      </c>
      <c r="J256" s="153" t="s">
        <v>66</v>
      </c>
      <c r="K256" s="19"/>
    </row>
    <row r="257" spans="2:11" x14ac:dyDescent="0.25">
      <c r="B257" s="280"/>
      <c r="C257" s="947" t="s">
        <v>14</v>
      </c>
      <c r="D257" s="104">
        <f>'Greens Quantities '!C33</f>
        <v>0.125</v>
      </c>
      <c r="E257" s="22">
        <v>2</v>
      </c>
      <c r="F257" s="282" t="s">
        <v>270</v>
      </c>
      <c r="G257" s="22" t="s">
        <v>271</v>
      </c>
      <c r="H257" s="282"/>
      <c r="I257" s="157"/>
      <c r="J257" s="153"/>
      <c r="K257" s="22"/>
    </row>
    <row r="258" spans="2:11" x14ac:dyDescent="0.25">
      <c r="B258" s="280"/>
      <c r="C258" s="947" t="s">
        <v>50</v>
      </c>
      <c r="D258" s="104">
        <f>'Greens Quantities '!C34</f>
        <v>0.125</v>
      </c>
      <c r="E258" s="22"/>
      <c r="F258" s="282" t="s">
        <v>270</v>
      </c>
      <c r="G258" s="22" t="s">
        <v>272</v>
      </c>
      <c r="H258" s="282"/>
      <c r="I258" s="157"/>
      <c r="J258" s="153"/>
      <c r="K258" s="22"/>
    </row>
    <row r="259" spans="2:11" x14ac:dyDescent="0.25">
      <c r="B259" s="22"/>
      <c r="C259" s="329" t="s">
        <v>250</v>
      </c>
      <c r="D259" s="306">
        <f>'Greens Quantities '!C41</f>
        <v>2.8000000000000001E-2</v>
      </c>
      <c r="E259" s="22">
        <v>2</v>
      </c>
      <c r="F259" s="22" t="s">
        <v>251</v>
      </c>
      <c r="G259" s="103" t="s">
        <v>252</v>
      </c>
      <c r="H259" s="22"/>
      <c r="I259" s="22"/>
      <c r="J259" s="22"/>
      <c r="K259" s="300"/>
    </row>
    <row r="260" spans="2:11" x14ac:dyDescent="0.25">
      <c r="B260" s="19"/>
      <c r="C260" s="228"/>
      <c r="D260" s="104"/>
      <c r="E260" s="19"/>
      <c r="F260" s="228"/>
      <c r="G260" s="103"/>
      <c r="H260" s="228"/>
      <c r="I260" s="24"/>
      <c r="J260" s="24"/>
      <c r="K260" s="22"/>
    </row>
    <row r="261" spans="2:11" x14ac:dyDescent="0.25">
      <c r="B261" s="280">
        <v>46325</v>
      </c>
      <c r="C261" s="853" t="s">
        <v>294</v>
      </c>
      <c r="D261" s="104">
        <f>'Greens Quantities '!C19</f>
        <v>2</v>
      </c>
      <c r="E261" s="22">
        <v>2</v>
      </c>
      <c r="F261" s="282" t="s">
        <v>228</v>
      </c>
      <c r="G261" s="22" t="s">
        <v>295</v>
      </c>
      <c r="H261" s="282">
        <v>12</v>
      </c>
      <c r="I261" s="157" t="s">
        <v>246</v>
      </c>
      <c r="J261" s="357" t="s">
        <v>296</v>
      </c>
      <c r="K261" s="19"/>
    </row>
    <row r="262" spans="2:11" x14ac:dyDescent="0.25">
      <c r="B262" s="304"/>
      <c r="C262" s="853" t="s">
        <v>255</v>
      </c>
      <c r="D262" s="104">
        <v>4</v>
      </c>
      <c r="E262" s="328">
        <v>2</v>
      </c>
      <c r="F262" s="314" t="s">
        <v>244</v>
      </c>
      <c r="G262" s="328" t="s">
        <v>297</v>
      </c>
      <c r="H262" s="282" t="s">
        <v>205</v>
      </c>
      <c r="I262" s="157" t="s">
        <v>242</v>
      </c>
      <c r="J262" s="153" t="s">
        <v>66</v>
      </c>
      <c r="K262" s="22"/>
    </row>
    <row r="263" spans="2:11" x14ac:dyDescent="0.25">
      <c r="B263" s="280"/>
      <c r="C263" s="853" t="s">
        <v>39</v>
      </c>
      <c r="D263" s="104">
        <v>5.5</v>
      </c>
      <c r="E263" s="328">
        <v>2</v>
      </c>
      <c r="F263" s="314" t="s">
        <v>228</v>
      </c>
      <c r="G263" s="328" t="s">
        <v>40</v>
      </c>
      <c r="H263" s="282" t="s">
        <v>205</v>
      </c>
      <c r="I263" s="157" t="s">
        <v>230</v>
      </c>
      <c r="J263" s="153" t="s">
        <v>66</v>
      </c>
      <c r="K263" s="22"/>
    </row>
    <row r="264" spans="2:11" x14ac:dyDescent="0.25">
      <c r="B264" s="19"/>
      <c r="C264" s="228"/>
      <c r="D264" s="104"/>
      <c r="E264" s="328"/>
      <c r="F264" s="314"/>
      <c r="G264" s="328"/>
      <c r="H264" s="282"/>
      <c r="I264" s="157"/>
      <c r="J264" s="24"/>
      <c r="K264" s="22"/>
    </row>
    <row r="265" spans="2:11" x14ac:dyDescent="0.25">
      <c r="B265" s="19"/>
      <c r="C265" s="228"/>
      <c r="D265" s="104"/>
      <c r="E265" s="100"/>
      <c r="F265" s="229"/>
      <c r="G265" s="100"/>
      <c r="H265" s="228"/>
      <c r="I265" s="24"/>
      <c r="J265" s="24"/>
      <c r="K265" s="19"/>
    </row>
    <row r="266" spans="2:11" x14ac:dyDescent="0.25">
      <c r="B266" s="19"/>
      <c r="C266" s="228"/>
      <c r="D266" s="878"/>
      <c r="E266" s="879" t="s">
        <v>298</v>
      </c>
      <c r="F266" s="880"/>
      <c r="G266" s="881"/>
      <c r="H266" s="228"/>
      <c r="I266" s="24"/>
      <c r="J266" s="24"/>
      <c r="K266" s="19"/>
    </row>
    <row r="267" spans="2:11" x14ac:dyDescent="0.25">
      <c r="B267" s="19"/>
      <c r="C267" s="228"/>
      <c r="D267" s="882"/>
      <c r="E267" s="883"/>
      <c r="F267" s="884"/>
      <c r="G267" s="885"/>
      <c r="H267" s="228"/>
      <c r="I267" s="24"/>
      <c r="J267" s="24"/>
      <c r="K267" s="19"/>
    </row>
    <row r="268" spans="2:11" x14ac:dyDescent="0.25">
      <c r="B268" s="19"/>
      <c r="C268" s="228"/>
      <c r="D268" s="104"/>
      <c r="E268" s="308"/>
      <c r="F268" s="358"/>
      <c r="G268" s="308"/>
      <c r="H268" s="228"/>
      <c r="I268" s="24"/>
      <c r="J268" s="24"/>
      <c r="K268" s="19"/>
    </row>
    <row r="269" spans="2:11" x14ac:dyDescent="0.25">
      <c r="B269" s="19"/>
      <c r="C269" s="228"/>
      <c r="D269" s="886"/>
      <c r="E269" s="879" t="s">
        <v>299</v>
      </c>
      <c r="F269" s="880"/>
      <c r="G269" s="881"/>
      <c r="H269" s="228"/>
      <c r="I269" s="24"/>
      <c r="J269" s="24"/>
      <c r="K269" s="19"/>
    </row>
    <row r="270" spans="2:11" x14ac:dyDescent="0.25">
      <c r="B270" s="19"/>
      <c r="C270" s="228"/>
      <c r="D270" s="887"/>
      <c r="E270" s="883"/>
      <c r="F270" s="884"/>
      <c r="G270" s="885"/>
      <c r="H270" s="228"/>
      <c r="I270" s="24"/>
      <c r="J270" s="24"/>
      <c r="K270" s="19"/>
    </row>
    <row r="271" spans="2:11" x14ac:dyDescent="0.25">
      <c r="B271" s="19"/>
      <c r="C271" s="228"/>
      <c r="D271" s="104"/>
      <c r="E271" s="308"/>
      <c r="F271" s="358"/>
      <c r="G271" s="308"/>
      <c r="H271" s="228"/>
      <c r="I271" s="24"/>
      <c r="J271" s="24"/>
      <c r="K271" s="19"/>
    </row>
    <row r="272" spans="2:11" x14ac:dyDescent="0.25">
      <c r="B272" s="19"/>
      <c r="C272" s="228"/>
      <c r="D272" s="888"/>
      <c r="E272" s="879" t="s">
        <v>300</v>
      </c>
      <c r="F272" s="880"/>
      <c r="G272" s="881"/>
      <c r="H272" s="228"/>
      <c r="I272" s="24"/>
      <c r="J272" s="24"/>
      <c r="K272" s="19"/>
    </row>
    <row r="273" spans="2:11" x14ac:dyDescent="0.25">
      <c r="B273" s="19"/>
      <c r="C273" s="228"/>
      <c r="D273" s="889"/>
      <c r="E273" s="883"/>
      <c r="F273" s="884"/>
      <c r="G273" s="885"/>
      <c r="H273" s="228"/>
      <c r="I273" s="24"/>
      <c r="J273" s="24"/>
      <c r="K273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BD24-E57D-4600-B99F-346064CC1053}">
  <sheetPr>
    <tabColor rgb="FF00B0F0"/>
  </sheetPr>
  <dimension ref="A1:W63"/>
  <sheetViews>
    <sheetView topLeftCell="A39" workbookViewId="0">
      <selection activeCell="O51" sqref="O51"/>
    </sheetView>
  </sheetViews>
  <sheetFormatPr defaultRowHeight="15" x14ac:dyDescent="0.25"/>
  <cols>
    <col min="1" max="1" width="20" customWidth="1"/>
    <col min="2" max="2" width="12.5703125" bestFit="1" customWidth="1"/>
    <col min="5" max="5" width="21.85546875" bestFit="1" customWidth="1"/>
    <col min="7" max="7" width="14.42578125" bestFit="1" customWidth="1"/>
    <col min="9" max="9" width="19.140625" bestFit="1" customWidth="1"/>
    <col min="13" max="13" width="18.7109375" bestFit="1" customWidth="1"/>
    <col min="14" max="14" width="12.5703125" bestFit="1" customWidth="1"/>
    <col min="15" max="15" width="5.42578125" bestFit="1" customWidth="1"/>
    <col min="17" max="17" width="21.85546875" bestFit="1" customWidth="1"/>
    <col min="19" max="19" width="14.42578125" bestFit="1" customWidth="1"/>
    <col min="20" max="20" width="6" bestFit="1" customWidth="1"/>
    <col min="21" max="21" width="19.140625" bestFit="1" customWidth="1"/>
    <col min="22" max="22" width="8.42578125" bestFit="1" customWidth="1"/>
    <col min="23" max="23" width="6.5703125" bestFit="1" customWidth="1"/>
  </cols>
  <sheetData>
    <row r="1" spans="1:23" ht="23.25" x14ac:dyDescent="0.35">
      <c r="A1" s="1529" t="s">
        <v>301</v>
      </c>
      <c r="B1" s="1530"/>
      <c r="C1" s="1530"/>
      <c r="D1" s="1530"/>
      <c r="E1" s="1530"/>
      <c r="F1" s="1530"/>
      <c r="G1" s="1530"/>
      <c r="H1" s="1530"/>
      <c r="I1" s="1530"/>
      <c r="J1" s="1530"/>
      <c r="K1" s="1531"/>
      <c r="M1" s="1529" t="s">
        <v>302</v>
      </c>
      <c r="N1" s="1530"/>
      <c r="O1" s="1530"/>
      <c r="P1" s="1530"/>
      <c r="Q1" s="1530"/>
      <c r="R1" s="1530"/>
      <c r="S1" s="1530"/>
      <c r="T1" s="1530"/>
      <c r="U1" s="1530"/>
      <c r="V1" s="1530"/>
      <c r="W1" s="1531"/>
    </row>
    <row r="2" spans="1:23" ht="18.75" x14ac:dyDescent="0.3">
      <c r="A2" s="359" t="s">
        <v>99</v>
      </c>
      <c r="B2" s="360" t="s">
        <v>100</v>
      </c>
      <c r="C2" s="360" t="s">
        <v>101</v>
      </c>
      <c r="D2" s="361" t="s">
        <v>303</v>
      </c>
      <c r="E2" s="247" t="s">
        <v>103</v>
      </c>
      <c r="F2" s="360" t="s">
        <v>105</v>
      </c>
      <c r="G2" s="360" t="s">
        <v>104</v>
      </c>
      <c r="H2" s="360" t="s">
        <v>105</v>
      </c>
      <c r="I2" s="360" t="s">
        <v>137</v>
      </c>
      <c r="J2" s="360" t="s">
        <v>106</v>
      </c>
      <c r="K2" s="362" t="s">
        <v>107</v>
      </c>
      <c r="M2" s="359" t="s">
        <v>99</v>
      </c>
      <c r="N2" s="360" t="s">
        <v>100</v>
      </c>
      <c r="O2" s="360" t="s">
        <v>101</v>
      </c>
      <c r="P2" s="361" t="s">
        <v>303</v>
      </c>
      <c r="Q2" s="247" t="s">
        <v>103</v>
      </c>
      <c r="R2" s="360" t="s">
        <v>105</v>
      </c>
      <c r="S2" s="360" t="s">
        <v>104</v>
      </c>
      <c r="T2" s="360" t="s">
        <v>105</v>
      </c>
      <c r="U2" s="360" t="s">
        <v>137</v>
      </c>
      <c r="V2" s="360" t="s">
        <v>106</v>
      </c>
      <c r="W2" s="362" t="s">
        <v>107</v>
      </c>
    </row>
    <row r="3" spans="1:23" x14ac:dyDescent="0.25">
      <c r="A3" s="363" t="s">
        <v>280</v>
      </c>
      <c r="B3">
        <f>COUNTIF('Greens Spray Schedule '!C16:C263, "Banol")</f>
        <v>6</v>
      </c>
      <c r="C3">
        <v>2</v>
      </c>
      <c r="D3">
        <v>280</v>
      </c>
      <c r="E3" s="364">
        <f>SUM(C3*D3*B3/128)</f>
        <v>26.25</v>
      </c>
      <c r="F3" t="s">
        <v>108</v>
      </c>
      <c r="G3">
        <v>2.5</v>
      </c>
      <c r="H3" t="s">
        <v>108</v>
      </c>
      <c r="I3" s="365">
        <f>ROUNDUP(C3*D3*B3/320,0)</f>
        <v>11</v>
      </c>
      <c r="J3">
        <v>0</v>
      </c>
      <c r="K3" s="366">
        <f t="shared" ref="K3:K10" si="0">ROUNDUP((I3-J3),0)</f>
        <v>11</v>
      </c>
      <c r="M3" s="363" t="s">
        <v>84</v>
      </c>
      <c r="N3">
        <f>COUNTIF('Greens Spray Schedule '!C6:C263, "Protect DF ")</f>
        <v>9</v>
      </c>
      <c r="O3">
        <v>6</v>
      </c>
      <c r="P3">
        <v>175</v>
      </c>
      <c r="Q3" s="364">
        <f>SUM(O3*P3*N3/16)</f>
        <v>590.625</v>
      </c>
      <c r="R3" t="s">
        <v>121</v>
      </c>
      <c r="S3">
        <v>36</v>
      </c>
      <c r="T3" t="s">
        <v>121</v>
      </c>
      <c r="U3" s="365">
        <f>ROUNDUP(Q3/S3,0)</f>
        <v>17</v>
      </c>
      <c r="V3">
        <v>14</v>
      </c>
      <c r="W3" s="366">
        <f>ROUNDUP((U3-V3),0)</f>
        <v>3</v>
      </c>
    </row>
    <row r="4" spans="1:23" x14ac:dyDescent="0.25">
      <c r="A4" s="363" t="s">
        <v>111</v>
      </c>
      <c r="B4">
        <f>COUNTIF('Greens Spray Schedule '!C1:C264, "Daconil Weatherstik")</f>
        <v>5</v>
      </c>
      <c r="C4">
        <v>2</v>
      </c>
      <c r="D4">
        <v>280</v>
      </c>
      <c r="E4" s="364">
        <f>SUM(C4*D4*B4/128)</f>
        <v>21.875</v>
      </c>
      <c r="F4" t="s">
        <v>108</v>
      </c>
      <c r="G4">
        <v>2.5</v>
      </c>
      <c r="H4" t="s">
        <v>108</v>
      </c>
      <c r="I4" s="365">
        <f>ROUND(C4*D4*B4/320,0)</f>
        <v>9</v>
      </c>
      <c r="J4">
        <v>0</v>
      </c>
      <c r="K4" s="366">
        <f t="shared" si="0"/>
        <v>9</v>
      </c>
      <c r="M4" s="369" t="s">
        <v>111</v>
      </c>
      <c r="N4" s="258">
        <f>COUNTIF('Greens Spray Schedule '!C1:C263, "Daconil Weatherstik ")</f>
        <v>10</v>
      </c>
      <c r="O4" s="258">
        <v>2</v>
      </c>
      <c r="P4" s="258">
        <v>175</v>
      </c>
      <c r="Q4" s="370">
        <f>SUM(O4*P4*N4/128)</f>
        <v>27.34375</v>
      </c>
      <c r="R4" s="258" t="s">
        <v>108</v>
      </c>
      <c r="S4" s="258">
        <v>2.5</v>
      </c>
      <c r="T4" s="258" t="s">
        <v>108</v>
      </c>
      <c r="U4" s="371">
        <f>ROUND(O4*P4*N4/320,0)</f>
        <v>11</v>
      </c>
      <c r="V4" s="258">
        <v>0</v>
      </c>
      <c r="W4" s="372">
        <f>ROUNDUP((U4-V4),0)</f>
        <v>11</v>
      </c>
    </row>
    <row r="5" spans="1:23" x14ac:dyDescent="0.25">
      <c r="A5" s="363" t="s">
        <v>21</v>
      </c>
      <c r="B5">
        <f>COUNTIF('Greens Spray Schedule '!C1:C264, "Secure")</f>
        <v>13</v>
      </c>
      <c r="C5">
        <v>0.5</v>
      </c>
      <c r="D5">
        <v>280</v>
      </c>
      <c r="E5" s="364">
        <f>SUM(C5*D5*B5/128)</f>
        <v>14.21875</v>
      </c>
      <c r="F5" t="s">
        <v>108</v>
      </c>
      <c r="G5">
        <v>2.5</v>
      </c>
      <c r="H5" t="s">
        <v>108</v>
      </c>
      <c r="I5" s="365">
        <f>ROUNDUP(C5*D5*B5/320,0)</f>
        <v>6</v>
      </c>
      <c r="J5">
        <v>0</v>
      </c>
      <c r="K5" s="366">
        <f t="shared" si="0"/>
        <v>6</v>
      </c>
    </row>
    <row r="6" spans="1:23" x14ac:dyDescent="0.25">
      <c r="A6" s="363" t="s">
        <v>240</v>
      </c>
      <c r="B6">
        <f>COUNTIF('Greens Spray Schedule '!C1:C264, "Chipco 26GT")</f>
        <v>3</v>
      </c>
      <c r="C6">
        <v>4</v>
      </c>
      <c r="D6">
        <v>280</v>
      </c>
      <c r="E6" s="364">
        <f>SUM(C6*D6*B6/128)</f>
        <v>26.25</v>
      </c>
      <c r="F6" t="s">
        <v>108</v>
      </c>
      <c r="G6">
        <v>2.5</v>
      </c>
      <c r="H6" t="s">
        <v>108</v>
      </c>
      <c r="I6" s="365">
        <f>ROUNDUP(C6*D6*B6/320,0)</f>
        <v>11</v>
      </c>
      <c r="J6">
        <v>3</v>
      </c>
      <c r="K6" s="366">
        <f t="shared" si="0"/>
        <v>8</v>
      </c>
    </row>
    <row r="7" spans="1:23" x14ac:dyDescent="0.25">
      <c r="A7" s="363" t="s">
        <v>233</v>
      </c>
      <c r="B7">
        <f>COUNTIF('Greens Spray Schedule '!C1:C265, "Resilia")</f>
        <v>1</v>
      </c>
      <c r="C7">
        <v>4</v>
      </c>
      <c r="D7">
        <v>280</v>
      </c>
      <c r="E7" s="364">
        <f>SUM(C7*D7*B7/128)</f>
        <v>8.75</v>
      </c>
      <c r="F7" t="s">
        <v>108</v>
      </c>
      <c r="G7">
        <v>2.72</v>
      </c>
      <c r="H7" t="s">
        <v>108</v>
      </c>
      <c r="I7" s="365">
        <f>ROUNDUP(C7*D7*B7/348.16,0)</f>
        <v>4</v>
      </c>
      <c r="J7">
        <v>1</v>
      </c>
      <c r="K7" s="366">
        <f t="shared" si="0"/>
        <v>3</v>
      </c>
    </row>
    <row r="8" spans="1:23" x14ac:dyDescent="0.25">
      <c r="A8" s="363" t="s">
        <v>304</v>
      </c>
      <c r="B8">
        <f>COUNTIF('Greens Spray Schedule '!C1:C266, "Signature")</f>
        <v>20</v>
      </c>
      <c r="C8">
        <v>1.9</v>
      </c>
      <c r="D8">
        <v>280</v>
      </c>
      <c r="E8" s="364">
        <f>ROUNDUP(C8*D8/16*B8,0)</f>
        <v>665</v>
      </c>
      <c r="F8" t="s">
        <v>110</v>
      </c>
      <c r="G8">
        <v>11</v>
      </c>
      <c r="H8" t="s">
        <v>110</v>
      </c>
      <c r="I8" s="365">
        <f>ROUNDUP(E8/G8,0)</f>
        <v>61</v>
      </c>
      <c r="J8">
        <v>0</v>
      </c>
      <c r="K8" s="366">
        <f t="shared" si="0"/>
        <v>61</v>
      </c>
    </row>
    <row r="9" spans="1:23" x14ac:dyDescent="0.25">
      <c r="A9" s="363" t="s">
        <v>243</v>
      </c>
      <c r="B9">
        <f>COUNTIF('Greens Spray Schedule '!C1:C267, "SEGWAY")</f>
        <v>4</v>
      </c>
      <c r="C9">
        <v>0.6</v>
      </c>
      <c r="D9">
        <v>280</v>
      </c>
      <c r="E9" s="364">
        <v>992.88</v>
      </c>
      <c r="F9" t="s">
        <v>112</v>
      </c>
      <c r="G9">
        <v>39.200000000000003</v>
      </c>
      <c r="H9" t="s">
        <v>112</v>
      </c>
      <c r="I9" s="365">
        <f>ROUNDUP(C9*D9*B9/39.2,0)</f>
        <v>18</v>
      </c>
      <c r="J9">
        <v>0</v>
      </c>
      <c r="K9" s="366">
        <f t="shared" si="0"/>
        <v>18</v>
      </c>
    </row>
    <row r="10" spans="1:23" x14ac:dyDescent="0.25">
      <c r="A10" s="363" t="s">
        <v>266</v>
      </c>
      <c r="B10">
        <f>COUNTIF('Greens Spray Schedule '!C1:C268, "Navicon")</f>
        <v>2</v>
      </c>
      <c r="C10">
        <v>0.85</v>
      </c>
      <c r="D10">
        <v>280</v>
      </c>
      <c r="E10" s="364">
        <v>238</v>
      </c>
      <c r="F10" t="s">
        <v>112</v>
      </c>
      <c r="G10">
        <v>37</v>
      </c>
      <c r="H10" t="s">
        <v>112</v>
      </c>
      <c r="I10" s="365">
        <f>ROUNDUP(C10*D10*B10/37,0)</f>
        <v>13</v>
      </c>
      <c r="J10">
        <v>4</v>
      </c>
      <c r="K10" s="366">
        <f t="shared" si="0"/>
        <v>9</v>
      </c>
      <c r="O10" t="s">
        <v>79</v>
      </c>
    </row>
    <row r="11" spans="1:23" x14ac:dyDescent="0.25">
      <c r="A11" s="363" t="s">
        <v>84</v>
      </c>
      <c r="B11">
        <f>COUNTIF('Greens Spray Schedule '!C1:C269, "Protect DF")</f>
        <v>1</v>
      </c>
      <c r="C11" s="368">
        <v>4.0999999999999996</v>
      </c>
      <c r="D11">
        <v>280</v>
      </c>
      <c r="E11" s="364">
        <f>SUM(C11*D11*B11/16)</f>
        <v>71.75</v>
      </c>
      <c r="F11" t="s">
        <v>110</v>
      </c>
      <c r="G11">
        <v>36</v>
      </c>
      <c r="H11" t="s">
        <v>110</v>
      </c>
      <c r="I11" s="365">
        <f>ROUNDUP(E11/G11,0)</f>
        <v>2</v>
      </c>
      <c r="J11">
        <v>0</v>
      </c>
      <c r="K11" s="366">
        <f>MAX(0,I11-J11)</f>
        <v>2</v>
      </c>
    </row>
    <row r="12" spans="1:23" x14ac:dyDescent="0.25">
      <c r="A12" s="363" t="s">
        <v>16</v>
      </c>
      <c r="B12">
        <f>COUNTIF('Greens Spray Schedule '!C1:C270, "Densicor")</f>
        <v>2</v>
      </c>
      <c r="C12">
        <v>0.19600000000000001</v>
      </c>
      <c r="D12">
        <v>280</v>
      </c>
      <c r="E12" s="364">
        <f>ROUNDUP(C12*D12*B12,0)</f>
        <v>110</v>
      </c>
      <c r="F12" t="s">
        <v>112</v>
      </c>
      <c r="G12">
        <v>51</v>
      </c>
      <c r="H12" t="s">
        <v>112</v>
      </c>
      <c r="I12" s="365">
        <f>ROUNDUP(C12*D12*B12/51,0)</f>
        <v>3</v>
      </c>
      <c r="J12">
        <v>0</v>
      </c>
      <c r="K12" s="366">
        <f>ROUND(I12-J12,0)</f>
        <v>3</v>
      </c>
      <c r="L12" t="s">
        <v>305</v>
      </c>
    </row>
    <row r="13" spans="1:23" x14ac:dyDescent="0.25">
      <c r="A13" s="363" t="s">
        <v>116</v>
      </c>
      <c r="B13">
        <f>COUNTIF('Greens Spray Schedule '!C1:C271, "Lexicon")</f>
        <v>1</v>
      </c>
      <c r="C13">
        <v>0.47</v>
      </c>
      <c r="D13">
        <v>280</v>
      </c>
      <c r="E13" s="364">
        <f>ROUNDUP(C13*D13*B13,0)</f>
        <v>132</v>
      </c>
      <c r="F13" t="s">
        <v>112</v>
      </c>
      <c r="G13">
        <v>21</v>
      </c>
      <c r="H13" t="s">
        <v>112</v>
      </c>
      <c r="I13" s="365">
        <f>ROUNDUP(C13*D13*B13/21,0)</f>
        <v>7</v>
      </c>
      <c r="J13">
        <v>9</v>
      </c>
      <c r="K13" s="366">
        <f>MAX(0,I13-J13,0)</f>
        <v>0</v>
      </c>
    </row>
    <row r="14" spans="1:23" x14ac:dyDescent="0.25">
      <c r="A14" s="363" t="s">
        <v>273</v>
      </c>
      <c r="B14">
        <f>COUNTIF('Greens Spray Schedule '!C1:C272, "Serata")</f>
        <v>4</v>
      </c>
      <c r="C14">
        <v>0.6</v>
      </c>
      <c r="D14">
        <v>280</v>
      </c>
      <c r="E14" s="364">
        <f t="shared" ref="E14" si="1">ROUNDUP(C14*D14*B14,0)</f>
        <v>672</v>
      </c>
      <c r="F14" t="s">
        <v>112</v>
      </c>
      <c r="G14">
        <v>35</v>
      </c>
      <c r="H14" t="s">
        <v>112</v>
      </c>
      <c r="I14" s="365">
        <f>ROUNDUP(C14*D14*B14/35,0)</f>
        <v>20</v>
      </c>
      <c r="J14">
        <v>0</v>
      </c>
      <c r="K14" s="366">
        <f>ROUNDUP((I14-J14),0)</f>
        <v>20</v>
      </c>
    </row>
    <row r="15" spans="1:23" x14ac:dyDescent="0.25">
      <c r="A15" s="363" t="s">
        <v>217</v>
      </c>
      <c r="B15">
        <f>COUNTIF('Greens Spray Schedule '!C1:C273, "TM 4.5")</f>
        <v>2</v>
      </c>
      <c r="C15">
        <v>2</v>
      </c>
      <c r="D15">
        <v>280</v>
      </c>
      <c r="E15" s="364">
        <f>ROUNDUP(C15*D15/128*B15,0)</f>
        <v>9</v>
      </c>
      <c r="F15" t="s">
        <v>108</v>
      </c>
      <c r="G15">
        <v>2.5</v>
      </c>
      <c r="H15" t="s">
        <v>108</v>
      </c>
      <c r="I15" s="365">
        <f>ROUNDUP(C15*D15*B15/320,0)</f>
        <v>4</v>
      </c>
      <c r="J15">
        <v>4</v>
      </c>
      <c r="K15" s="366">
        <f>ROUNDUP((I15-J15),0)</f>
        <v>0</v>
      </c>
    </row>
    <row r="16" spans="1:23" x14ac:dyDescent="0.25">
      <c r="A16" s="363" t="s">
        <v>86</v>
      </c>
      <c r="B16">
        <f>COUNTIF('Greens Spray Schedule '!C1:C274, "Affirm WDG")</f>
        <v>1</v>
      </c>
      <c r="C16">
        <v>0.06</v>
      </c>
      <c r="D16">
        <v>280</v>
      </c>
      <c r="E16" s="364">
        <v>16.8</v>
      </c>
      <c r="F16" t="s">
        <v>110</v>
      </c>
      <c r="G16">
        <v>2.4</v>
      </c>
      <c r="H16" t="s">
        <v>110</v>
      </c>
      <c r="I16" s="365">
        <f>ROUNDUP(E16/G16,0)</f>
        <v>7</v>
      </c>
      <c r="J16">
        <v>7</v>
      </c>
      <c r="K16" s="366">
        <f>MAX(0,I16-J16)</f>
        <v>0</v>
      </c>
      <c r="L16" t="s">
        <v>115</v>
      </c>
    </row>
    <row r="17" spans="1:12" x14ac:dyDescent="0.25">
      <c r="A17" s="367" t="s">
        <v>90</v>
      </c>
      <c r="B17">
        <f>COUNTIF('Greens Spray Schedule '!C18:C275, "Xzemplar")</f>
        <v>1</v>
      </c>
      <c r="C17">
        <v>0.26</v>
      </c>
      <c r="D17">
        <v>280</v>
      </c>
      <c r="E17" s="364">
        <f>ROUNDUP(C17*D17*B17,0)</f>
        <v>73</v>
      </c>
      <c r="F17" t="s">
        <v>112</v>
      </c>
      <c r="G17">
        <v>114</v>
      </c>
      <c r="H17" t="s">
        <v>119</v>
      </c>
      <c r="I17" s="365">
        <f>ROUNDUP(E17/G17,0)</f>
        <v>1</v>
      </c>
      <c r="J17">
        <v>0</v>
      </c>
      <c r="K17" s="366">
        <f>ROUNDUP((I17-J17),0)</f>
        <v>1</v>
      </c>
    </row>
    <row r="18" spans="1:12" x14ac:dyDescent="0.25">
      <c r="A18" s="363" t="s">
        <v>286</v>
      </c>
      <c r="B18">
        <f>COUNTIF('Greens Spray Schedule '!C1:C276, "Heritage TL")</f>
        <v>2</v>
      </c>
      <c r="C18">
        <v>2</v>
      </c>
      <c r="D18">
        <v>280</v>
      </c>
      <c r="E18" s="364">
        <f t="shared" ref="E18:E20" si="2">ROUNDUP(C18*D18/128*B18,0)</f>
        <v>9</v>
      </c>
      <c r="F18" t="s">
        <v>108</v>
      </c>
      <c r="G18">
        <v>1</v>
      </c>
      <c r="H18" t="s">
        <v>108</v>
      </c>
      <c r="I18" s="365">
        <f>ROUNDUP(C18*D18*B18/128,0)</f>
        <v>9</v>
      </c>
      <c r="J18">
        <v>5</v>
      </c>
      <c r="K18" s="366">
        <f>ROUNDUP((I18-J18),0)</f>
        <v>4</v>
      </c>
    </row>
    <row r="19" spans="1:12" x14ac:dyDescent="0.25">
      <c r="A19" s="363" t="s">
        <v>294</v>
      </c>
      <c r="B19">
        <f>COUNTIF('Greens Spray Schedule '!C20:C277, "Medallion SC")</f>
        <v>1</v>
      </c>
      <c r="C19">
        <v>2</v>
      </c>
      <c r="D19">
        <v>280</v>
      </c>
      <c r="E19" s="364">
        <f t="shared" si="2"/>
        <v>5</v>
      </c>
      <c r="F19" t="s">
        <v>108</v>
      </c>
      <c r="G19">
        <v>1</v>
      </c>
      <c r="H19" t="s">
        <v>108</v>
      </c>
      <c r="I19" s="365">
        <f>ROUNDUP(C19*D19*B19/128,0)</f>
        <v>5</v>
      </c>
      <c r="J19">
        <v>0</v>
      </c>
      <c r="K19" s="366">
        <f>ROUNDUP((I19-J19),0)</f>
        <v>5</v>
      </c>
    </row>
    <row r="20" spans="1:12" x14ac:dyDescent="0.25">
      <c r="A20" s="369" t="s">
        <v>283</v>
      </c>
      <c r="B20" s="258">
        <f>COUNTIF('Greens Spray Schedule '!C22:C278, "Pedigree SC")</f>
        <v>1</v>
      </c>
      <c r="C20" s="258">
        <v>3.25</v>
      </c>
      <c r="D20" s="258">
        <v>280</v>
      </c>
      <c r="E20" s="370">
        <f t="shared" si="2"/>
        <v>8</v>
      </c>
      <c r="F20" s="258" t="s">
        <v>108</v>
      </c>
      <c r="G20" s="258">
        <v>2.5</v>
      </c>
      <c r="H20" s="258" t="s">
        <v>108</v>
      </c>
      <c r="I20" s="371">
        <f>ROUNDUP(C20*D20*B20/320,0)</f>
        <v>3</v>
      </c>
      <c r="J20" s="258">
        <v>7</v>
      </c>
      <c r="K20" s="372">
        <f>MAX(0,I20-J20)</f>
        <v>0</v>
      </c>
    </row>
    <row r="21" spans="1:12" x14ac:dyDescent="0.25">
      <c r="E21" s="364"/>
      <c r="I21" s="365"/>
      <c r="K21" s="373"/>
    </row>
    <row r="22" spans="1:12" x14ac:dyDescent="0.25">
      <c r="E22" s="364"/>
      <c r="I22" s="365"/>
      <c r="K22" s="365"/>
    </row>
    <row r="23" spans="1:12" ht="18.75" x14ac:dyDescent="0.3">
      <c r="A23" s="359" t="s">
        <v>122</v>
      </c>
      <c r="B23" s="360" t="s">
        <v>100</v>
      </c>
      <c r="C23" s="374" t="s">
        <v>101</v>
      </c>
      <c r="D23" s="361" t="s">
        <v>303</v>
      </c>
      <c r="E23" s="247" t="s">
        <v>103</v>
      </c>
      <c r="F23" s="360" t="s">
        <v>105</v>
      </c>
      <c r="G23" s="360" t="s">
        <v>104</v>
      </c>
      <c r="H23" s="360" t="s">
        <v>105</v>
      </c>
      <c r="I23" s="360" t="s">
        <v>137</v>
      </c>
      <c r="J23" s="360" t="s">
        <v>106</v>
      </c>
      <c r="K23" s="362" t="s">
        <v>107</v>
      </c>
    </row>
    <row r="24" spans="1:12" x14ac:dyDescent="0.25">
      <c r="A24" s="255" t="s">
        <v>37</v>
      </c>
      <c r="B24" s="255">
        <f>COUNTIF('Greens Spray Schedule '!C1:C282, "Acelepryn")</f>
        <v>1</v>
      </c>
      <c r="C24" s="375">
        <v>0.37</v>
      </c>
      <c r="D24">
        <v>280</v>
      </c>
      <c r="E24" s="364">
        <f>ROUNDUP(C24*D24*B24,0)</f>
        <v>104</v>
      </c>
      <c r="F24" t="s">
        <v>112</v>
      </c>
      <c r="G24">
        <v>0.5</v>
      </c>
      <c r="H24" t="s">
        <v>108</v>
      </c>
      <c r="I24" s="365">
        <f>ROUNDUP(C24*D24*B24/64,0)</f>
        <v>2</v>
      </c>
      <c r="J24">
        <v>2</v>
      </c>
      <c r="K24" s="366">
        <f>MAX(0,I24-J24)</f>
        <v>0</v>
      </c>
    </row>
    <row r="25" spans="1:12" x14ac:dyDescent="0.25">
      <c r="A25" s="255" t="s">
        <v>57</v>
      </c>
      <c r="B25" s="255">
        <f>COUNTIF('Greens Spray Schedule '!C1:C283, "Suprado")</f>
        <v>1</v>
      </c>
      <c r="C25">
        <v>3</v>
      </c>
      <c r="D25">
        <v>280</v>
      </c>
      <c r="E25" s="364">
        <f>ROUNDUP(C25*D25/128*B25,0)</f>
        <v>7</v>
      </c>
      <c r="F25" t="s">
        <v>108</v>
      </c>
      <c r="G25">
        <v>2.5</v>
      </c>
      <c r="H25" t="s">
        <v>108</v>
      </c>
      <c r="I25" s="365">
        <f>ROUNDUP(C25*D25*B25/320,0)</f>
        <v>3</v>
      </c>
      <c r="J25">
        <v>0</v>
      </c>
      <c r="K25" s="366">
        <f t="shared" ref="K25:K30" si="3">ROUNDUP((I25-J25),0)</f>
        <v>3</v>
      </c>
    </row>
    <row r="26" spans="1:12" x14ac:dyDescent="0.25">
      <c r="A26" s="255" t="s">
        <v>69</v>
      </c>
      <c r="B26" s="255">
        <f>COUNTIF('Greens Spray Schedule '!C1:C284, "Matchpoint")</f>
        <v>1</v>
      </c>
      <c r="C26">
        <v>0.37</v>
      </c>
      <c r="D26">
        <v>280</v>
      </c>
      <c r="E26" s="364">
        <f>ROUNDUP(C26*D26*B26,0)</f>
        <v>104</v>
      </c>
      <c r="F26" t="s">
        <v>112</v>
      </c>
      <c r="G26">
        <v>64</v>
      </c>
      <c r="H26" t="s">
        <v>112</v>
      </c>
      <c r="I26" s="365">
        <f>ROUNDUP(C26*D26*B26/64,0)</f>
        <v>2</v>
      </c>
      <c r="J26">
        <v>2</v>
      </c>
      <c r="K26" s="366">
        <f t="shared" si="3"/>
        <v>0</v>
      </c>
    </row>
    <row r="27" spans="1:12" x14ac:dyDescent="0.25">
      <c r="A27" s="255" t="s">
        <v>77</v>
      </c>
      <c r="B27" s="255">
        <f>COUNTIF('Greens Spray Schedule '!C1:C285, "Ference")</f>
        <v>1</v>
      </c>
      <c r="C27">
        <v>0.28000000000000003</v>
      </c>
      <c r="D27">
        <v>280</v>
      </c>
      <c r="E27" s="364">
        <f t="shared" ref="E27:E30" si="4">ROUNDUP(C27*D27*B27,0)</f>
        <v>79</v>
      </c>
      <c r="F27" t="s">
        <v>112</v>
      </c>
      <c r="G27">
        <v>96</v>
      </c>
      <c r="H27" t="s">
        <v>112</v>
      </c>
      <c r="I27" s="365">
        <f>ROUNDUP(C27*D27*B27/G27,0)</f>
        <v>1</v>
      </c>
      <c r="J27">
        <v>0</v>
      </c>
      <c r="K27" s="366">
        <f t="shared" si="3"/>
        <v>1</v>
      </c>
    </row>
    <row r="28" spans="1:12" x14ac:dyDescent="0.25">
      <c r="A28" s="255" t="s">
        <v>64</v>
      </c>
      <c r="B28" s="255">
        <f>COUNTIF('Greens Spray Schedule '!C1:C286, "Tetrino")</f>
        <v>2</v>
      </c>
      <c r="C28">
        <v>0.73499999999999999</v>
      </c>
      <c r="D28">
        <v>280</v>
      </c>
      <c r="E28" s="364">
        <f t="shared" si="4"/>
        <v>412</v>
      </c>
      <c r="F28" t="s">
        <v>112</v>
      </c>
      <c r="G28">
        <v>1</v>
      </c>
      <c r="H28" t="s">
        <v>108</v>
      </c>
      <c r="I28" s="365">
        <f>ROUNDUP(C28*D28*B28/128,0)</f>
        <v>4</v>
      </c>
      <c r="J28">
        <v>0</v>
      </c>
      <c r="K28" s="366">
        <f t="shared" si="3"/>
        <v>4</v>
      </c>
    </row>
    <row r="29" spans="1:12" x14ac:dyDescent="0.25">
      <c r="A29" s="255" t="s">
        <v>247</v>
      </c>
      <c r="B29" s="255">
        <f>COUNTIF('Greens Spray Schedule '!C1:C287, "Indemnify")</f>
        <v>1</v>
      </c>
      <c r="C29">
        <v>0.19500000000000001</v>
      </c>
      <c r="D29">
        <v>280</v>
      </c>
      <c r="E29" s="364">
        <f t="shared" si="4"/>
        <v>55</v>
      </c>
      <c r="F29" t="s">
        <v>112</v>
      </c>
      <c r="G29">
        <v>17.100000000000001</v>
      </c>
      <c r="H29" t="s">
        <v>119</v>
      </c>
      <c r="I29" s="365">
        <f>ROUNDUP(C29*D29*B29/G29,0)</f>
        <v>4</v>
      </c>
      <c r="J29">
        <v>0</v>
      </c>
      <c r="K29" s="366">
        <f t="shared" si="3"/>
        <v>4</v>
      </c>
    </row>
    <row r="30" spans="1:12" x14ac:dyDescent="0.25">
      <c r="A30" s="257" t="s">
        <v>259</v>
      </c>
      <c r="B30" s="257">
        <f>COUNTIF('Greens Spray Schedule '!C1:C288, "Divanem")</f>
        <v>5</v>
      </c>
      <c r="C30" s="258">
        <f>6.25/43.56</f>
        <v>0.14348025711662074</v>
      </c>
      <c r="D30" s="258">
        <v>280</v>
      </c>
      <c r="E30" s="370">
        <f t="shared" si="4"/>
        <v>201</v>
      </c>
      <c r="F30" s="258" t="s">
        <v>112</v>
      </c>
      <c r="G30" s="258">
        <v>64</v>
      </c>
      <c r="H30" s="258" t="s">
        <v>119</v>
      </c>
      <c r="I30" s="371">
        <f>ROUNDUP(C30*D30*B30/G30,0)</f>
        <v>4</v>
      </c>
      <c r="J30" s="258">
        <v>0</v>
      </c>
      <c r="K30" s="372">
        <f t="shared" si="3"/>
        <v>4</v>
      </c>
      <c r="L30" t="s">
        <v>306</v>
      </c>
    </row>
    <row r="32" spans="1:12" ht="18.75" x14ac:dyDescent="0.3">
      <c r="A32" s="359" t="s">
        <v>130</v>
      </c>
      <c r="B32" s="360" t="s">
        <v>100</v>
      </c>
      <c r="C32" s="360" t="s">
        <v>101</v>
      </c>
      <c r="D32" s="360" t="s">
        <v>303</v>
      </c>
      <c r="E32" s="247" t="s">
        <v>103</v>
      </c>
      <c r="F32" s="360" t="s">
        <v>105</v>
      </c>
      <c r="G32" s="360" t="s">
        <v>104</v>
      </c>
      <c r="H32" s="360" t="s">
        <v>105</v>
      </c>
      <c r="I32" s="360" t="s">
        <v>137</v>
      </c>
      <c r="J32" s="360" t="s">
        <v>106</v>
      </c>
      <c r="K32" s="362" t="s">
        <v>107</v>
      </c>
    </row>
    <row r="33" spans="1:12" x14ac:dyDescent="0.25">
      <c r="A33" s="363" t="s">
        <v>14</v>
      </c>
      <c r="B33">
        <f>COUNTIF('Greens Spray Schedule '!C1:C291, "Primo Maxx")</f>
        <v>19</v>
      </c>
      <c r="C33">
        <v>0.125</v>
      </c>
      <c r="D33">
        <v>280</v>
      </c>
      <c r="E33" s="364">
        <f>ROUNDUP(C33*D33/128*B33,0)</f>
        <v>6</v>
      </c>
      <c r="F33" t="s">
        <v>108</v>
      </c>
      <c r="G33">
        <v>10</v>
      </c>
      <c r="H33" t="s">
        <v>108</v>
      </c>
      <c r="I33" s="365">
        <f>E33/G33</f>
        <v>0.6</v>
      </c>
      <c r="J33">
        <v>1</v>
      </c>
      <c r="K33" s="1049">
        <f>MAX(0,I33-J33)</f>
        <v>0</v>
      </c>
    </row>
    <row r="34" spans="1:12" x14ac:dyDescent="0.25">
      <c r="A34" s="369" t="s">
        <v>50</v>
      </c>
      <c r="B34" s="258">
        <f>COUNTIF('Greens Spray Schedule '!C2:C292, "Anuew EZ")</f>
        <v>19</v>
      </c>
      <c r="C34" s="258">
        <v>0.125</v>
      </c>
      <c r="D34" s="258">
        <v>280</v>
      </c>
      <c r="E34" s="370">
        <f>ROUNDUP(C34*D34/128*B34,0)</f>
        <v>6</v>
      </c>
      <c r="F34" s="258" t="s">
        <v>108</v>
      </c>
      <c r="G34" s="258">
        <v>2.5</v>
      </c>
      <c r="H34" s="258" t="s">
        <v>108</v>
      </c>
      <c r="I34" s="371">
        <f>E34/G34</f>
        <v>2.4</v>
      </c>
      <c r="J34" s="258">
        <v>3</v>
      </c>
      <c r="K34" s="542">
        <f>MAX(0,I34-J34)</f>
        <v>0</v>
      </c>
    </row>
    <row r="35" spans="1:12" x14ac:dyDescent="0.25">
      <c r="A35" s="258"/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spans="1:12" ht="18.75" x14ac:dyDescent="0.3">
      <c r="A36" s="740" t="s">
        <v>131</v>
      </c>
      <c r="B36" s="741" t="s">
        <v>100</v>
      </c>
      <c r="C36" s="621" t="s">
        <v>101</v>
      </c>
      <c r="D36" s="621" t="s">
        <v>303</v>
      </c>
      <c r="E36" s="265" t="s">
        <v>103</v>
      </c>
      <c r="F36" s="621" t="s">
        <v>105</v>
      </c>
      <c r="G36" s="621" t="s">
        <v>104</v>
      </c>
      <c r="H36" s="621" t="s">
        <v>105</v>
      </c>
      <c r="I36" s="621" t="s">
        <v>137</v>
      </c>
      <c r="J36" s="621" t="s">
        <v>106</v>
      </c>
      <c r="K36" s="622" t="s">
        <v>107</v>
      </c>
    </row>
    <row r="37" spans="1:12" x14ac:dyDescent="0.25">
      <c r="A37" s="596" t="s">
        <v>32</v>
      </c>
      <c r="B37" s="854">
        <f>COUNTIF('Greens Spray Schedule '!C12:C294, "Excalibur")</f>
        <v>11</v>
      </c>
      <c r="C37" s="739">
        <v>1.5</v>
      </c>
      <c r="D37" s="123">
        <v>280</v>
      </c>
      <c r="E37" s="377">
        <f>(B37*C37*D37)/128</f>
        <v>36.09375</v>
      </c>
      <c r="F37" s="123" t="s">
        <v>108</v>
      </c>
      <c r="G37" s="123">
        <v>55</v>
      </c>
      <c r="H37" s="123" t="s">
        <v>108</v>
      </c>
      <c r="I37" s="620">
        <v>1</v>
      </c>
      <c r="J37" s="123">
        <v>0</v>
      </c>
      <c r="K37" s="738">
        <v>1</v>
      </c>
    </row>
    <row r="38" spans="1:12" x14ac:dyDescent="0.25">
      <c r="A38" s="259" t="s">
        <v>239</v>
      </c>
      <c r="B38" s="257">
        <f>COUNTIF('Greens Spray Schedule '!C13:C295, "Oars PS")</f>
        <v>21</v>
      </c>
      <c r="C38" s="736">
        <v>0.71</v>
      </c>
      <c r="D38" s="736">
        <v>280</v>
      </c>
      <c r="E38" s="742">
        <f>(B38*C38*D38)/128</f>
        <v>32.615625000000001</v>
      </c>
      <c r="F38" s="736" t="s">
        <v>108</v>
      </c>
      <c r="G38" s="736">
        <v>2.5</v>
      </c>
      <c r="H38" s="736" t="s">
        <v>108</v>
      </c>
      <c r="I38" s="737">
        <f>ROUNDUP(C38*D38/128/G38*B38,0)</f>
        <v>14</v>
      </c>
      <c r="J38" s="736">
        <v>1</v>
      </c>
      <c r="K38" s="372">
        <f>I38-J38</f>
        <v>13</v>
      </c>
    </row>
    <row r="40" spans="1:12" ht="18.75" x14ac:dyDescent="0.3">
      <c r="A40" s="378" t="s">
        <v>127</v>
      </c>
      <c r="B40" s="361" t="s">
        <v>100</v>
      </c>
      <c r="C40" s="374" t="s">
        <v>101</v>
      </c>
      <c r="D40" s="374" t="s">
        <v>303</v>
      </c>
      <c r="E40" s="247" t="s">
        <v>103</v>
      </c>
      <c r="F40" s="374" t="s">
        <v>105</v>
      </c>
      <c r="G40" s="374" t="s">
        <v>104</v>
      </c>
      <c r="H40" s="374" t="s">
        <v>105</v>
      </c>
      <c r="I40" s="374" t="s">
        <v>137</v>
      </c>
      <c r="J40" s="374" t="s">
        <v>106</v>
      </c>
      <c r="K40" s="376" t="s">
        <v>107</v>
      </c>
    </row>
    <row r="41" spans="1:12" x14ac:dyDescent="0.25">
      <c r="A41" s="610" t="s">
        <v>250</v>
      </c>
      <c r="B41" s="257">
        <f>COUNTIF('Greens Spray Schedule '!C18:C298, "QuickSilver")</f>
        <v>23</v>
      </c>
      <c r="C41" s="460">
        <v>2.8000000000000001E-2</v>
      </c>
      <c r="D41" s="460">
        <v>280</v>
      </c>
      <c r="E41" s="733">
        <f>(B41*C41*D41)</f>
        <v>180.32</v>
      </c>
      <c r="F41" s="460" t="s">
        <v>112</v>
      </c>
      <c r="G41" s="460">
        <v>8</v>
      </c>
      <c r="H41" s="460" t="s">
        <v>112</v>
      </c>
      <c r="I41" s="734">
        <f>ROUNDUP(C41*D41*B41/8,0)</f>
        <v>23</v>
      </c>
      <c r="J41" s="460">
        <v>3</v>
      </c>
      <c r="K41" s="735">
        <f>ROUNDUP((I41-J41),0)</f>
        <v>20</v>
      </c>
      <c r="L41" t="s">
        <v>307</v>
      </c>
    </row>
    <row r="43" spans="1:12" ht="18.75" x14ac:dyDescent="0.3">
      <c r="A43" s="378" t="s">
        <v>221</v>
      </c>
      <c r="B43" s="1467" t="s">
        <v>100</v>
      </c>
      <c r="C43" s="374" t="s">
        <v>101</v>
      </c>
      <c r="D43" s="374" t="s">
        <v>303</v>
      </c>
      <c r="E43" s="247" t="s">
        <v>103</v>
      </c>
      <c r="F43" s="374" t="s">
        <v>105</v>
      </c>
      <c r="G43" s="360" t="s">
        <v>104</v>
      </c>
      <c r="H43" s="360" t="s">
        <v>105</v>
      </c>
      <c r="I43" s="360" t="s">
        <v>137</v>
      </c>
      <c r="J43" s="374" t="s">
        <v>106</v>
      </c>
      <c r="K43" s="362" t="s">
        <v>107</v>
      </c>
    </row>
    <row r="44" spans="1:12" x14ac:dyDescent="0.25">
      <c r="A44" s="462" t="s">
        <v>308</v>
      </c>
      <c r="B44" s="375">
        <v>10</v>
      </c>
      <c r="C44" s="375">
        <v>1.88</v>
      </c>
      <c r="D44" s="375">
        <v>280</v>
      </c>
      <c r="E44">
        <f>ROUNDUP(C44*D44/128*B44,0)</f>
        <v>42</v>
      </c>
      <c r="F44" s="375" t="s">
        <v>108</v>
      </c>
      <c r="G44">
        <v>1.32</v>
      </c>
      <c r="H44" t="s">
        <v>108</v>
      </c>
      <c r="I44">
        <f>ROUNDUP(E44/G44,0)</f>
        <v>32</v>
      </c>
      <c r="J44" s="375">
        <v>0</v>
      </c>
      <c r="K44" s="256">
        <f>ROUNDUP(I44-J44,0)</f>
        <v>32</v>
      </c>
    </row>
    <row r="45" spans="1:12" x14ac:dyDescent="0.25">
      <c r="A45" s="363" t="s">
        <v>309</v>
      </c>
      <c r="B45">
        <v>10</v>
      </c>
      <c r="C45">
        <v>1.88</v>
      </c>
      <c r="D45">
        <v>280</v>
      </c>
      <c r="E45">
        <f>ROUNDUP(C45*D45/128*B45,0)</f>
        <v>42</v>
      </c>
      <c r="F45" t="s">
        <v>108</v>
      </c>
      <c r="G45">
        <v>1.32</v>
      </c>
      <c r="H45" t="s">
        <v>108</v>
      </c>
      <c r="I45">
        <f t="shared" ref="I45:I62" si="5">ROUNDUP(E45/G45,0)</f>
        <v>32</v>
      </c>
      <c r="J45">
        <v>0</v>
      </c>
      <c r="K45" s="256">
        <f t="shared" ref="K45:K62" si="6">ROUNDUP(I45-J45,0)</f>
        <v>32</v>
      </c>
    </row>
    <row r="46" spans="1:12" x14ac:dyDescent="0.25">
      <c r="A46" s="363" t="s">
        <v>310</v>
      </c>
      <c r="B46">
        <v>6</v>
      </c>
      <c r="C46">
        <v>1.25</v>
      </c>
      <c r="D46">
        <v>280</v>
      </c>
      <c r="E46">
        <f>ROUNDUP(C46*D46/128*B46,0)</f>
        <v>17</v>
      </c>
      <c r="F46" t="s">
        <v>108</v>
      </c>
      <c r="G46">
        <v>1.32</v>
      </c>
      <c r="H46" t="s">
        <v>108</v>
      </c>
      <c r="I46">
        <f t="shared" si="5"/>
        <v>13</v>
      </c>
      <c r="J46">
        <v>0</v>
      </c>
      <c r="K46" s="256">
        <f t="shared" si="6"/>
        <v>13</v>
      </c>
    </row>
    <row r="47" spans="1:12" x14ac:dyDescent="0.25">
      <c r="A47" s="363" t="s">
        <v>311</v>
      </c>
      <c r="B47">
        <v>6</v>
      </c>
      <c r="C47">
        <v>1.25</v>
      </c>
      <c r="D47">
        <v>280</v>
      </c>
      <c r="E47">
        <f t="shared" ref="E47:E57" si="7">ROUNDUP(C47*D47/128*B47,0)</f>
        <v>17</v>
      </c>
      <c r="F47" t="s">
        <v>108</v>
      </c>
      <c r="G47">
        <v>1.32</v>
      </c>
      <c r="H47" t="s">
        <v>108</v>
      </c>
      <c r="I47">
        <f t="shared" si="5"/>
        <v>13</v>
      </c>
      <c r="J47">
        <v>0</v>
      </c>
      <c r="K47" s="256">
        <f t="shared" si="6"/>
        <v>13</v>
      </c>
    </row>
    <row r="48" spans="1:12" x14ac:dyDescent="0.25">
      <c r="A48" s="363" t="s">
        <v>312</v>
      </c>
      <c r="B48">
        <v>20</v>
      </c>
      <c r="C48">
        <v>0.56999999999999995</v>
      </c>
      <c r="D48">
        <v>280</v>
      </c>
      <c r="E48">
        <f t="shared" si="7"/>
        <v>25</v>
      </c>
      <c r="F48" t="s">
        <v>108</v>
      </c>
      <c r="G48">
        <v>2.5</v>
      </c>
      <c r="H48" t="s">
        <v>108</v>
      </c>
      <c r="I48">
        <f t="shared" si="5"/>
        <v>10</v>
      </c>
      <c r="J48">
        <v>0</v>
      </c>
      <c r="K48" s="256">
        <f t="shared" si="6"/>
        <v>10</v>
      </c>
    </row>
    <row r="49" spans="1:11" x14ac:dyDescent="0.25">
      <c r="A49" s="363" t="s">
        <v>313</v>
      </c>
      <c r="B49">
        <v>12</v>
      </c>
      <c r="C49">
        <v>1.1399999999999999</v>
      </c>
      <c r="D49">
        <v>280</v>
      </c>
      <c r="E49">
        <f t="shared" si="7"/>
        <v>30</v>
      </c>
      <c r="F49" t="s">
        <v>108</v>
      </c>
      <c r="G49">
        <v>2.5</v>
      </c>
      <c r="H49" t="s">
        <v>108</v>
      </c>
      <c r="I49">
        <f t="shared" si="5"/>
        <v>12</v>
      </c>
      <c r="J49">
        <v>0</v>
      </c>
      <c r="K49" s="256">
        <f t="shared" si="6"/>
        <v>12</v>
      </c>
    </row>
    <row r="50" spans="1:11" x14ac:dyDescent="0.25">
      <c r="A50" s="363" t="s">
        <v>314</v>
      </c>
      <c r="B50">
        <v>12</v>
      </c>
      <c r="C50">
        <v>1.1399999999999999</v>
      </c>
      <c r="D50">
        <v>280</v>
      </c>
      <c r="E50">
        <f t="shared" si="7"/>
        <v>30</v>
      </c>
      <c r="F50" t="s">
        <v>108</v>
      </c>
      <c r="G50">
        <v>2.5</v>
      </c>
      <c r="H50" t="s">
        <v>108</v>
      </c>
      <c r="I50">
        <f t="shared" si="5"/>
        <v>12</v>
      </c>
      <c r="J50">
        <v>0</v>
      </c>
      <c r="K50" s="256">
        <f t="shared" si="6"/>
        <v>12</v>
      </c>
    </row>
    <row r="51" spans="1:11" x14ac:dyDescent="0.25">
      <c r="A51" s="363" t="s">
        <v>315</v>
      </c>
      <c r="B51">
        <v>12</v>
      </c>
      <c r="C51">
        <v>1.1399999999999999</v>
      </c>
      <c r="D51">
        <v>280</v>
      </c>
      <c r="E51">
        <f t="shared" si="7"/>
        <v>30</v>
      </c>
      <c r="F51" t="s">
        <v>108</v>
      </c>
      <c r="G51">
        <v>2.5</v>
      </c>
      <c r="H51" t="s">
        <v>108</v>
      </c>
      <c r="I51">
        <f t="shared" si="5"/>
        <v>12</v>
      </c>
      <c r="J51">
        <v>0</v>
      </c>
      <c r="K51" s="256">
        <f t="shared" si="6"/>
        <v>12</v>
      </c>
    </row>
    <row r="52" spans="1:11" x14ac:dyDescent="0.25">
      <c r="A52" s="363" t="s">
        <v>316</v>
      </c>
      <c r="B52">
        <v>12</v>
      </c>
      <c r="C52">
        <v>1.1399999999999999</v>
      </c>
      <c r="D52">
        <v>280</v>
      </c>
      <c r="E52">
        <f t="shared" si="7"/>
        <v>30</v>
      </c>
      <c r="F52" t="s">
        <v>108</v>
      </c>
      <c r="G52">
        <v>2.5</v>
      </c>
      <c r="H52" t="s">
        <v>108</v>
      </c>
      <c r="I52">
        <f t="shared" si="5"/>
        <v>12</v>
      </c>
      <c r="J52">
        <v>0</v>
      </c>
      <c r="K52" s="256">
        <f t="shared" si="6"/>
        <v>12</v>
      </c>
    </row>
    <row r="53" spans="1:11" x14ac:dyDescent="0.25">
      <c r="A53" s="363" t="s">
        <v>317</v>
      </c>
      <c r="B53">
        <v>15</v>
      </c>
      <c r="C53">
        <v>0.47</v>
      </c>
      <c r="D53">
        <v>280</v>
      </c>
      <c r="E53">
        <f t="shared" si="7"/>
        <v>16</v>
      </c>
      <c r="F53" t="s">
        <v>108</v>
      </c>
      <c r="G53">
        <v>2.5</v>
      </c>
      <c r="H53" t="s">
        <v>108</v>
      </c>
      <c r="I53">
        <f t="shared" si="5"/>
        <v>7</v>
      </c>
      <c r="J53">
        <v>0</v>
      </c>
      <c r="K53" s="256">
        <f t="shared" si="6"/>
        <v>7</v>
      </c>
    </row>
    <row r="54" spans="1:11" x14ac:dyDescent="0.25">
      <c r="A54" s="363" t="s">
        <v>318</v>
      </c>
      <c r="B54">
        <v>7</v>
      </c>
      <c r="C54">
        <v>1</v>
      </c>
      <c r="D54">
        <v>280</v>
      </c>
      <c r="E54">
        <f t="shared" si="7"/>
        <v>16</v>
      </c>
      <c r="F54" t="s">
        <v>108</v>
      </c>
      <c r="G54">
        <v>2.5</v>
      </c>
      <c r="H54" t="s">
        <v>108</v>
      </c>
      <c r="I54">
        <f t="shared" si="5"/>
        <v>7</v>
      </c>
      <c r="J54">
        <v>0</v>
      </c>
      <c r="K54" s="256">
        <f t="shared" si="6"/>
        <v>7</v>
      </c>
    </row>
    <row r="55" spans="1:11" x14ac:dyDescent="0.25">
      <c r="A55" s="256" t="s">
        <v>319</v>
      </c>
      <c r="B55">
        <v>5</v>
      </c>
      <c r="C55">
        <v>1.89</v>
      </c>
      <c r="D55">
        <v>280</v>
      </c>
      <c r="E55">
        <f t="shared" si="7"/>
        <v>21</v>
      </c>
      <c r="F55" t="s">
        <v>108</v>
      </c>
      <c r="G55">
        <v>2.5</v>
      </c>
      <c r="H55" t="s">
        <v>108</v>
      </c>
      <c r="I55">
        <f t="shared" si="5"/>
        <v>9</v>
      </c>
      <c r="J55">
        <v>0</v>
      </c>
      <c r="K55" s="256">
        <f t="shared" si="6"/>
        <v>9</v>
      </c>
    </row>
    <row r="56" spans="1:11" x14ac:dyDescent="0.25">
      <c r="A56" s="256" t="s">
        <v>320</v>
      </c>
      <c r="B56">
        <v>5</v>
      </c>
      <c r="C56">
        <v>1.89</v>
      </c>
      <c r="D56">
        <v>280</v>
      </c>
      <c r="E56">
        <f t="shared" si="7"/>
        <v>21</v>
      </c>
      <c r="F56" t="s">
        <v>108</v>
      </c>
      <c r="G56">
        <v>2.5</v>
      </c>
      <c r="H56" t="s">
        <v>108</v>
      </c>
      <c r="I56">
        <f t="shared" si="5"/>
        <v>9</v>
      </c>
      <c r="J56">
        <v>0</v>
      </c>
      <c r="K56" s="256">
        <f t="shared" si="6"/>
        <v>9</v>
      </c>
    </row>
    <row r="57" spans="1:11" x14ac:dyDescent="0.25">
      <c r="A57" s="256" t="s">
        <v>321</v>
      </c>
      <c r="B57">
        <v>12</v>
      </c>
      <c r="C57">
        <v>1.1399999999999999</v>
      </c>
      <c r="D57">
        <v>280</v>
      </c>
      <c r="E57">
        <f t="shared" si="7"/>
        <v>30</v>
      </c>
      <c r="F57" t="s">
        <v>108</v>
      </c>
      <c r="G57">
        <v>2.5</v>
      </c>
      <c r="H57" t="s">
        <v>108</v>
      </c>
      <c r="I57">
        <f t="shared" si="5"/>
        <v>12</v>
      </c>
      <c r="J57">
        <v>0</v>
      </c>
      <c r="K57" s="256">
        <f t="shared" si="6"/>
        <v>12</v>
      </c>
    </row>
    <row r="58" spans="1:11" x14ac:dyDescent="0.25">
      <c r="A58" s="363" t="s">
        <v>322</v>
      </c>
      <c r="B58">
        <v>11</v>
      </c>
      <c r="C58">
        <v>10.6</v>
      </c>
      <c r="D58">
        <v>6.4</v>
      </c>
      <c r="E58" s="373">
        <f>SUM(C58*D58*B58)</f>
        <v>746.24</v>
      </c>
      <c r="F58" t="s">
        <v>121</v>
      </c>
      <c r="G58">
        <v>44</v>
      </c>
      <c r="H58" t="s">
        <v>121</v>
      </c>
      <c r="I58">
        <f>ROUNDUP(E58/G58,0)</f>
        <v>17</v>
      </c>
      <c r="J58">
        <v>0</v>
      </c>
      <c r="K58" s="256">
        <f t="shared" si="6"/>
        <v>17</v>
      </c>
    </row>
    <row r="59" spans="1:11" x14ac:dyDescent="0.25">
      <c r="A59" s="363" t="s">
        <v>323</v>
      </c>
      <c r="B59">
        <v>13</v>
      </c>
      <c r="C59">
        <v>4.8</v>
      </c>
      <c r="D59">
        <v>6.4</v>
      </c>
      <c r="E59" s="373">
        <f>SUM(C59*D59*B59)</f>
        <v>399.36</v>
      </c>
      <c r="F59" t="s">
        <v>121</v>
      </c>
      <c r="G59">
        <v>15</v>
      </c>
      <c r="H59" t="s">
        <v>121</v>
      </c>
      <c r="I59">
        <f t="shared" si="5"/>
        <v>27</v>
      </c>
      <c r="J59">
        <v>0</v>
      </c>
      <c r="K59" s="256">
        <f t="shared" si="6"/>
        <v>27</v>
      </c>
    </row>
    <row r="60" spans="1:11" x14ac:dyDescent="0.25">
      <c r="A60" s="363" t="s">
        <v>324</v>
      </c>
      <c r="B60">
        <v>8</v>
      </c>
      <c r="C60">
        <v>3.88</v>
      </c>
      <c r="D60">
        <v>6.4</v>
      </c>
      <c r="E60" s="373">
        <f>SUM(C60*D60*B60)</f>
        <v>198.65600000000001</v>
      </c>
      <c r="F60" t="s">
        <v>121</v>
      </c>
      <c r="G60">
        <v>25</v>
      </c>
      <c r="H60" t="s">
        <v>121</v>
      </c>
      <c r="I60">
        <f t="shared" si="5"/>
        <v>8</v>
      </c>
      <c r="J60">
        <v>0</v>
      </c>
      <c r="K60" s="256">
        <f t="shared" si="6"/>
        <v>8</v>
      </c>
    </row>
    <row r="61" spans="1:11" x14ac:dyDescent="0.25">
      <c r="A61" s="363" t="s">
        <v>325</v>
      </c>
      <c r="B61">
        <v>13</v>
      </c>
      <c r="C61">
        <v>0.19</v>
      </c>
      <c r="D61">
        <v>280</v>
      </c>
      <c r="E61" s="373">
        <f t="shared" ref="E61:E62" si="8">SUM(C61*D61*B61/16)</f>
        <v>43.225000000000001</v>
      </c>
      <c r="F61" t="s">
        <v>121</v>
      </c>
      <c r="G61">
        <v>1.6</v>
      </c>
      <c r="H61" t="s">
        <v>121</v>
      </c>
      <c r="I61">
        <f t="shared" si="5"/>
        <v>28</v>
      </c>
      <c r="J61">
        <v>0</v>
      </c>
      <c r="K61" s="256">
        <f t="shared" si="6"/>
        <v>28</v>
      </c>
    </row>
    <row r="62" spans="1:11" x14ac:dyDescent="0.25">
      <c r="A62" s="363" t="s">
        <v>326</v>
      </c>
      <c r="B62">
        <v>6</v>
      </c>
      <c r="C62">
        <v>0.43</v>
      </c>
      <c r="D62">
        <v>280</v>
      </c>
      <c r="E62" s="373">
        <f t="shared" si="8"/>
        <v>45.15</v>
      </c>
      <c r="F62" t="s">
        <v>121</v>
      </c>
      <c r="G62">
        <v>3.6</v>
      </c>
      <c r="H62" t="s">
        <v>121</v>
      </c>
      <c r="I62">
        <f t="shared" si="5"/>
        <v>13</v>
      </c>
      <c r="J62">
        <v>0</v>
      </c>
      <c r="K62" s="256">
        <f t="shared" si="6"/>
        <v>13</v>
      </c>
    </row>
    <row r="63" spans="1:11" x14ac:dyDescent="0.25">
      <c r="A63" s="369" t="s">
        <v>327</v>
      </c>
      <c r="B63" s="258">
        <v>6</v>
      </c>
      <c r="C63" s="258">
        <v>2.2000000000000002</v>
      </c>
      <c r="D63" s="258">
        <v>280</v>
      </c>
      <c r="E63" s="258">
        <v>30</v>
      </c>
      <c r="F63" s="258" t="s">
        <v>108</v>
      </c>
      <c r="G63" s="258">
        <v>5</v>
      </c>
      <c r="H63" s="258" t="s">
        <v>108</v>
      </c>
      <c r="I63" s="258">
        <v>6</v>
      </c>
      <c r="J63" s="258">
        <v>0</v>
      </c>
      <c r="K63" s="259">
        <v>6</v>
      </c>
    </row>
  </sheetData>
  <mergeCells count="2">
    <mergeCell ref="A1:K1"/>
    <mergeCell ref="M1:W1"/>
  </mergeCells>
  <conditionalFormatting sqref="K12:K1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2D2F-2845-4532-B834-FFD198522920}">
  <sheetPr>
    <tabColor rgb="FF00B0F0"/>
  </sheetPr>
  <dimension ref="A1:AE67"/>
  <sheetViews>
    <sheetView workbookViewId="0">
      <pane ySplit="2" topLeftCell="A3" activePane="bottomLeft" state="frozen"/>
      <selection pane="bottomLeft" activeCell="A16" sqref="A16:XFD16"/>
    </sheetView>
  </sheetViews>
  <sheetFormatPr defaultRowHeight="15" x14ac:dyDescent="0.25"/>
  <cols>
    <col min="1" max="1" width="20.42578125" bestFit="1" customWidth="1"/>
    <col min="2" max="2" width="11" bestFit="1" customWidth="1"/>
    <col min="3" max="3" width="12.85546875" bestFit="1" customWidth="1"/>
    <col min="4" max="4" width="12" bestFit="1" customWidth="1"/>
    <col min="5" max="8" width="11.7109375" bestFit="1" customWidth="1"/>
    <col min="9" max="9" width="19.28515625" bestFit="1" customWidth="1"/>
    <col min="10" max="10" width="14.85546875" bestFit="1" customWidth="1"/>
    <col min="11" max="11" width="12.85546875" bestFit="1" customWidth="1"/>
    <col min="12" max="12" width="14.140625" bestFit="1" customWidth="1"/>
    <col min="13" max="13" width="14.7109375" bestFit="1" customWidth="1"/>
    <col min="14" max="14" width="6.140625" bestFit="1" customWidth="1"/>
    <col min="15" max="15" width="14.140625" bestFit="1" customWidth="1"/>
    <col min="16" max="16" width="14.140625" customWidth="1"/>
    <col min="17" max="18" width="12.85546875" bestFit="1" customWidth="1"/>
    <col min="19" max="23" width="11.7109375" bestFit="1" customWidth="1"/>
    <col min="24" max="24" width="10.7109375" bestFit="1" customWidth="1"/>
    <col min="26" max="26" width="11.7109375" bestFit="1" customWidth="1"/>
    <col min="31" max="31" width="11" bestFit="1" customWidth="1"/>
  </cols>
  <sheetData>
    <row r="1" spans="1:27" ht="23.25" x14ac:dyDescent="0.35">
      <c r="A1" s="764"/>
      <c r="B1" s="1519" t="s">
        <v>328</v>
      </c>
      <c r="C1" s="1519"/>
      <c r="D1" s="1519"/>
      <c r="E1" s="1519"/>
      <c r="F1" s="1519"/>
      <c r="G1" s="1519"/>
      <c r="H1" s="1519"/>
      <c r="I1" s="1519"/>
      <c r="J1" s="1519"/>
      <c r="K1" s="1519"/>
      <c r="L1" s="1519"/>
      <c r="M1" s="1519"/>
      <c r="N1" s="1520"/>
      <c r="O1" s="765"/>
      <c r="P1" s="765"/>
      <c r="Q1" s="1521" t="s">
        <v>329</v>
      </c>
      <c r="R1" s="1522"/>
      <c r="S1" s="1522"/>
      <c r="T1" s="1522"/>
      <c r="U1" s="1522"/>
      <c r="V1" s="1522"/>
      <c r="W1" s="1522"/>
      <c r="X1" s="1523"/>
    </row>
    <row r="2" spans="1:27" ht="18.75" x14ac:dyDescent="0.3">
      <c r="A2" s="766"/>
      <c r="B2" s="767" t="s">
        <v>147</v>
      </c>
      <c r="C2" s="768" t="s">
        <v>100</v>
      </c>
      <c r="D2" s="769" t="s">
        <v>148</v>
      </c>
      <c r="E2" s="770" t="s">
        <v>5</v>
      </c>
      <c r="F2" s="770" t="s">
        <v>330</v>
      </c>
      <c r="G2" s="771" t="s">
        <v>149</v>
      </c>
      <c r="H2" s="771" t="s">
        <v>150</v>
      </c>
      <c r="I2" s="623" t="s">
        <v>331</v>
      </c>
      <c r="J2" s="771" t="s">
        <v>152</v>
      </c>
      <c r="K2" s="770" t="s">
        <v>107</v>
      </c>
      <c r="L2" s="771" t="s">
        <v>153</v>
      </c>
      <c r="M2" s="769" t="s">
        <v>104</v>
      </c>
      <c r="N2" s="1165" t="s">
        <v>105</v>
      </c>
      <c r="O2" s="1173" t="s">
        <v>332</v>
      </c>
      <c r="P2" s="772" t="s">
        <v>333</v>
      </c>
      <c r="Q2" s="772" t="s">
        <v>334</v>
      </c>
      <c r="R2" s="772" t="s">
        <v>335</v>
      </c>
      <c r="S2" s="772" t="s">
        <v>157</v>
      </c>
      <c r="T2" s="772" t="s">
        <v>336</v>
      </c>
      <c r="U2" s="772" t="s">
        <v>337</v>
      </c>
      <c r="V2" s="772" t="s">
        <v>338</v>
      </c>
      <c r="W2" s="772" t="s">
        <v>339</v>
      </c>
      <c r="X2" s="772" t="s">
        <v>340</v>
      </c>
    </row>
    <row r="3" spans="1:27" x14ac:dyDescent="0.25">
      <c r="A3" s="846" t="s">
        <v>280</v>
      </c>
      <c r="B3" s="850" t="s">
        <v>341</v>
      </c>
      <c r="C3" s="848">
        <f>'Greens Quantities '!B3</f>
        <v>6</v>
      </c>
      <c r="D3" s="564">
        <f>'Greens Quantities '!C3</f>
        <v>2</v>
      </c>
      <c r="E3" s="822">
        <v>6.43</v>
      </c>
      <c r="F3" s="592">
        <v>280</v>
      </c>
      <c r="G3" s="823">
        <f>H3/E3</f>
        <v>344.82892690513222</v>
      </c>
      <c r="H3" s="824">
        <f>D3*F3/128/M3*J3</f>
        <v>2217.25</v>
      </c>
      <c r="I3" s="824">
        <f>C3*H3</f>
        <v>13303.5</v>
      </c>
      <c r="J3" s="825">
        <f>'Total Order Sheet'!C28</f>
        <v>1267</v>
      </c>
      <c r="K3" s="826">
        <f>'Greens Quantities '!K3</f>
        <v>11</v>
      </c>
      <c r="L3" s="827">
        <f t="shared" ref="L3:L21" si="0">SUM(J3*K3)</f>
        <v>13937</v>
      </c>
      <c r="M3" s="564">
        <v>2.5</v>
      </c>
      <c r="N3" s="759" t="s">
        <v>108</v>
      </c>
      <c r="O3" s="1145">
        <f>H3</f>
        <v>2217.25</v>
      </c>
      <c r="P3" s="841"/>
      <c r="Q3" s="841"/>
      <c r="R3" s="842"/>
      <c r="S3" s="842"/>
      <c r="T3" s="843"/>
      <c r="U3" s="843">
        <f>O3*4</f>
        <v>8869</v>
      </c>
      <c r="V3" s="843">
        <f>O3</f>
        <v>2217.25</v>
      </c>
      <c r="W3" s="842"/>
      <c r="X3" s="843">
        <f>O3</f>
        <v>2217.25</v>
      </c>
      <c r="Z3" s="397">
        <f>SUM(Q3:X3)</f>
        <v>13303.5</v>
      </c>
    </row>
    <row r="4" spans="1:27" x14ac:dyDescent="0.25">
      <c r="A4" s="846" t="s">
        <v>111</v>
      </c>
      <c r="B4" s="851" t="s">
        <v>342</v>
      </c>
      <c r="C4" s="848">
        <f>'Greens Quantities '!B4</f>
        <v>5</v>
      </c>
      <c r="D4" s="564">
        <f>'Greens Quantities '!C4</f>
        <v>2</v>
      </c>
      <c r="E4" s="822">
        <v>6.43</v>
      </c>
      <c r="F4" s="592">
        <v>280</v>
      </c>
      <c r="G4" s="823">
        <f t="shared" ref="G4:G20" si="1">H4/E4</f>
        <v>57.153965785381025</v>
      </c>
      <c r="H4" s="824">
        <f>D4*F4/128/M4*J4</f>
        <v>367.5</v>
      </c>
      <c r="I4" s="824">
        <f>C4*H4</f>
        <v>1837.5</v>
      </c>
      <c r="J4" s="828">
        <f>'Total Order Sheet'!C7</f>
        <v>210</v>
      </c>
      <c r="K4" s="826">
        <f>'Greens Quantities '!K4</f>
        <v>9</v>
      </c>
      <c r="L4" s="829">
        <f t="shared" si="0"/>
        <v>1890</v>
      </c>
      <c r="M4" s="564">
        <v>2.5</v>
      </c>
      <c r="N4" s="759" t="s">
        <v>108</v>
      </c>
      <c r="O4" s="1145">
        <f>H4</f>
        <v>367.5</v>
      </c>
      <c r="P4" s="844">
        <f>O4</f>
        <v>367.5</v>
      </c>
      <c r="Q4" s="844">
        <f>O4</f>
        <v>367.5</v>
      </c>
      <c r="R4" s="681">
        <f>O4</f>
        <v>367.5</v>
      </c>
      <c r="S4" s="681">
        <f>O4</f>
        <v>367.5</v>
      </c>
      <c r="T4" s="681"/>
      <c r="U4" s="681"/>
      <c r="V4" s="681"/>
      <c r="W4" s="681">
        <f>O4</f>
        <v>367.5</v>
      </c>
      <c r="X4" s="681">
        <f>O4</f>
        <v>367.5</v>
      </c>
      <c r="Z4" s="746">
        <f>SUM(Q4:X4)</f>
        <v>1837.5</v>
      </c>
    </row>
    <row r="5" spans="1:27" x14ac:dyDescent="0.25">
      <c r="A5" s="846" t="s">
        <v>111</v>
      </c>
      <c r="B5" s="851" t="s">
        <v>342</v>
      </c>
      <c r="C5" s="956">
        <f>'Greens Quantities '!W4</f>
        <v>11</v>
      </c>
      <c r="D5" s="564">
        <f>'Greens Quantities '!O4</f>
        <v>2</v>
      </c>
      <c r="E5" s="822">
        <v>4</v>
      </c>
      <c r="F5" s="592">
        <v>175</v>
      </c>
      <c r="G5" s="823">
        <f t="shared" si="1"/>
        <v>57.421875</v>
      </c>
      <c r="H5" s="824">
        <f>D5*F5/128/M5*J5</f>
        <v>229.6875</v>
      </c>
      <c r="I5" s="824">
        <f>C5*H5</f>
        <v>2526.5625</v>
      </c>
      <c r="J5" s="828">
        <f>'Total Order Sheet'!C7</f>
        <v>210</v>
      </c>
      <c r="K5" s="826">
        <f>'Greens Quantities '!W4</f>
        <v>11</v>
      </c>
      <c r="L5" s="829">
        <f t="shared" si="0"/>
        <v>2310</v>
      </c>
      <c r="M5" s="564">
        <v>2.5</v>
      </c>
      <c r="N5" s="759" t="s">
        <v>108</v>
      </c>
      <c r="O5" s="1145">
        <f>H5</f>
        <v>229.6875</v>
      </c>
      <c r="P5" s="844"/>
      <c r="Q5" s="844"/>
      <c r="R5" s="681"/>
      <c r="S5" s="681">
        <f>O5*2</f>
        <v>459.375</v>
      </c>
      <c r="T5" s="681">
        <f>O5*2</f>
        <v>459.375</v>
      </c>
      <c r="U5" s="681">
        <f>O5*2</f>
        <v>459.375</v>
      </c>
      <c r="V5" s="681">
        <f>O5*2</f>
        <v>459.375</v>
      </c>
      <c r="W5" s="681">
        <f>O5</f>
        <v>229.6875</v>
      </c>
      <c r="X5" s="681"/>
      <c r="Z5" s="746"/>
    </row>
    <row r="6" spans="1:27" x14ac:dyDescent="0.25">
      <c r="A6" s="846" t="s">
        <v>21</v>
      </c>
      <c r="B6" s="851" t="s">
        <v>342</v>
      </c>
      <c r="C6" s="848">
        <f>'Greens Quantities '!B5</f>
        <v>13</v>
      </c>
      <c r="D6" s="564">
        <f>'Greens Quantities '!C5</f>
        <v>0.5</v>
      </c>
      <c r="E6" s="822">
        <v>6.43</v>
      </c>
      <c r="F6" s="592">
        <v>280</v>
      </c>
      <c r="G6" s="823">
        <f t="shared" si="1"/>
        <v>114.648133748056</v>
      </c>
      <c r="H6" s="824">
        <f t="shared" ref="H6:H22" si="2">D6*F6/128/M6*J6</f>
        <v>737.1875</v>
      </c>
      <c r="I6" s="824">
        <f t="shared" ref="I6:I20" si="3">C6*H6</f>
        <v>9583.4375</v>
      </c>
      <c r="J6" s="828">
        <f>'Total Order Sheet'!C6</f>
        <v>1685</v>
      </c>
      <c r="K6" s="826">
        <f>'Greens Quantities '!K5</f>
        <v>6</v>
      </c>
      <c r="L6" s="829">
        <f t="shared" si="0"/>
        <v>10110</v>
      </c>
      <c r="M6" s="564">
        <v>2.5</v>
      </c>
      <c r="N6" s="759" t="s">
        <v>108</v>
      </c>
      <c r="O6" s="1145">
        <f t="shared" ref="O6:O19" si="4">H6</f>
        <v>737.1875</v>
      </c>
      <c r="P6" s="845"/>
      <c r="Q6" s="845"/>
      <c r="R6" s="681">
        <f>O6</f>
        <v>737.1875</v>
      </c>
      <c r="S6" s="681">
        <f>O6*2</f>
        <v>1474.375</v>
      </c>
      <c r="T6" s="681">
        <f>O6*2</f>
        <v>1474.375</v>
      </c>
      <c r="U6" s="681">
        <f>O6*3</f>
        <v>2211.5625</v>
      </c>
      <c r="V6" s="681">
        <f>O6*2</f>
        <v>1474.375</v>
      </c>
      <c r="W6" s="681">
        <f>O6*2</f>
        <v>1474.375</v>
      </c>
      <c r="X6" s="681">
        <f>O6</f>
        <v>737.1875</v>
      </c>
      <c r="Z6" s="397">
        <f t="shared" ref="Z6:Z32" si="5">SUM(Q6:X6)</f>
        <v>9583.4375</v>
      </c>
    </row>
    <row r="7" spans="1:27" x14ac:dyDescent="0.25">
      <c r="A7" s="846" t="s">
        <v>240</v>
      </c>
      <c r="B7" s="851" t="s">
        <v>341</v>
      </c>
      <c r="C7" s="848">
        <f>'Greens Quantities '!B6</f>
        <v>3</v>
      </c>
      <c r="D7" s="564">
        <f>'Greens Quantities '!C6</f>
        <v>4</v>
      </c>
      <c r="E7" s="822">
        <v>6.43</v>
      </c>
      <c r="F7" s="592">
        <v>280</v>
      </c>
      <c r="G7" s="823">
        <f t="shared" si="1"/>
        <v>345.64541213063762</v>
      </c>
      <c r="H7" s="824">
        <f t="shared" si="2"/>
        <v>2222.5</v>
      </c>
      <c r="I7" s="824">
        <f t="shared" si="3"/>
        <v>6667.5</v>
      </c>
      <c r="J7" s="830">
        <f>'Total Order Sheet'!C27</f>
        <v>635</v>
      </c>
      <c r="K7" s="826">
        <f>'Greens Quantities '!K6</f>
        <v>8</v>
      </c>
      <c r="L7" s="829">
        <f t="shared" si="0"/>
        <v>5080</v>
      </c>
      <c r="M7" s="564">
        <v>2.5</v>
      </c>
      <c r="N7" s="759" t="s">
        <v>108</v>
      </c>
      <c r="O7" s="1145">
        <f t="shared" si="4"/>
        <v>2222.5</v>
      </c>
      <c r="P7" s="845"/>
      <c r="Q7" s="845"/>
      <c r="R7" s="681">
        <f>O7</f>
        <v>2222.5</v>
      </c>
      <c r="S7" s="681">
        <f>O7</f>
        <v>2222.5</v>
      </c>
      <c r="T7" s="564"/>
      <c r="U7" s="564"/>
      <c r="V7" s="564"/>
      <c r="W7" s="681">
        <f>O7</f>
        <v>2222.5</v>
      </c>
      <c r="X7" s="564"/>
      <c r="Z7" s="397">
        <f t="shared" si="5"/>
        <v>6667.5</v>
      </c>
    </row>
    <row r="8" spans="1:27" x14ac:dyDescent="0.25">
      <c r="A8" s="846" t="s">
        <v>233</v>
      </c>
      <c r="B8" s="851" t="s">
        <v>341</v>
      </c>
      <c r="C8" s="848">
        <f>'Greens Quantities '!B7</f>
        <v>1</v>
      </c>
      <c r="D8" s="564">
        <f>'Greens Quantities '!C7</f>
        <v>4</v>
      </c>
      <c r="E8" s="822">
        <v>6.43</v>
      </c>
      <c r="F8" s="592">
        <v>280</v>
      </c>
      <c r="G8" s="823">
        <f t="shared" si="1"/>
        <v>473.561430793157</v>
      </c>
      <c r="H8" s="824">
        <f t="shared" si="2"/>
        <v>3044.9999999999995</v>
      </c>
      <c r="I8" s="824">
        <f t="shared" si="3"/>
        <v>3044.9999999999995</v>
      </c>
      <c r="J8" s="828">
        <f>'Total Order Sheet'!C26</f>
        <v>946.56</v>
      </c>
      <c r="K8" s="826">
        <f>'Greens Quantities '!K7</f>
        <v>3</v>
      </c>
      <c r="L8" s="829">
        <f t="shared" si="0"/>
        <v>2839.68</v>
      </c>
      <c r="M8" s="564">
        <v>2.72</v>
      </c>
      <c r="N8" s="759" t="s">
        <v>108</v>
      </c>
      <c r="O8" s="1145">
        <f t="shared" si="4"/>
        <v>3044.9999999999995</v>
      </c>
      <c r="P8" s="844"/>
      <c r="Q8" s="844">
        <f>O8</f>
        <v>3044.9999999999995</v>
      </c>
      <c r="R8" s="564"/>
      <c r="S8" s="564"/>
      <c r="T8" s="564"/>
      <c r="U8" s="564"/>
      <c r="V8" s="564"/>
      <c r="W8" s="564"/>
      <c r="X8" s="564"/>
      <c r="Z8" s="397">
        <f t="shared" si="5"/>
        <v>3044.9999999999995</v>
      </c>
    </row>
    <row r="9" spans="1:27" x14ac:dyDescent="0.25">
      <c r="A9" s="846" t="s">
        <v>304</v>
      </c>
      <c r="B9" s="851" t="s">
        <v>341</v>
      </c>
      <c r="C9" s="848">
        <f>'Greens Quantities '!B8</f>
        <v>20</v>
      </c>
      <c r="D9" s="564">
        <f>'Greens Quantities '!C8</f>
        <v>1.9</v>
      </c>
      <c r="E9" s="822">
        <v>6.43</v>
      </c>
      <c r="F9" s="592">
        <v>280</v>
      </c>
      <c r="G9" s="823">
        <f t="shared" si="1"/>
        <v>22.59758942457232</v>
      </c>
      <c r="H9" s="824">
        <f t="shared" si="2"/>
        <v>145.30250000000001</v>
      </c>
      <c r="I9" s="824">
        <f t="shared" si="3"/>
        <v>2906.05</v>
      </c>
      <c r="J9" s="754">
        <f>'Total Order Sheet'!C25</f>
        <v>384.56</v>
      </c>
      <c r="K9" s="826">
        <f>'Greens Quantities '!K8</f>
        <v>61</v>
      </c>
      <c r="L9" s="829">
        <f t="shared" si="0"/>
        <v>23458.16</v>
      </c>
      <c r="M9" s="564">
        <v>11</v>
      </c>
      <c r="N9" s="759" t="s">
        <v>110</v>
      </c>
      <c r="O9" s="1145">
        <f t="shared" si="4"/>
        <v>145.30250000000001</v>
      </c>
      <c r="P9" s="845"/>
      <c r="Q9" s="845"/>
      <c r="R9" s="564"/>
      <c r="S9" s="681">
        <f>O9*4</f>
        <v>581.21</v>
      </c>
      <c r="T9" s="681">
        <f>O9*4</f>
        <v>581.21</v>
      </c>
      <c r="U9" s="681">
        <f>O9*5</f>
        <v>726.51250000000005</v>
      </c>
      <c r="V9" s="681">
        <f>O9*4</f>
        <v>581.21</v>
      </c>
      <c r="W9" s="681">
        <f>O9*2</f>
        <v>290.60500000000002</v>
      </c>
      <c r="X9" s="681">
        <f>O9</f>
        <v>145.30250000000001</v>
      </c>
      <c r="Z9" s="773">
        <f t="shared" si="5"/>
        <v>2906.05</v>
      </c>
    </row>
    <row r="10" spans="1:27" x14ac:dyDescent="0.25">
      <c r="A10" s="846" t="s">
        <v>243</v>
      </c>
      <c r="B10" s="851" t="s">
        <v>343</v>
      </c>
      <c r="C10" s="848">
        <f>'Greens Quantities '!B9</f>
        <v>4</v>
      </c>
      <c r="D10" s="564">
        <f>'Greens Quantities '!C9</f>
        <v>0.6</v>
      </c>
      <c r="E10" s="822">
        <v>6.43</v>
      </c>
      <c r="F10" s="592">
        <v>280</v>
      </c>
      <c r="G10" s="823">
        <f t="shared" si="1"/>
        <v>299.93334814485667</v>
      </c>
      <c r="H10" s="824">
        <f>D10*F10/M10*J10</f>
        <v>1928.5714285714284</v>
      </c>
      <c r="I10" s="824">
        <f t="shared" si="3"/>
        <v>7714.2857142857138</v>
      </c>
      <c r="J10" s="754">
        <f>'Total Order Sheet'!C77</f>
        <v>450</v>
      </c>
      <c r="K10" s="826">
        <f>'Greens Quantities '!K9</f>
        <v>18</v>
      </c>
      <c r="L10" s="829">
        <f t="shared" si="0"/>
        <v>8100</v>
      </c>
      <c r="M10" s="564">
        <v>39.200000000000003</v>
      </c>
      <c r="N10" s="759" t="s">
        <v>112</v>
      </c>
      <c r="O10" s="1145">
        <f t="shared" si="4"/>
        <v>1928.5714285714284</v>
      </c>
      <c r="P10" s="845"/>
      <c r="Q10" s="845"/>
      <c r="R10" s="681">
        <f>O10</f>
        <v>1928.5714285714284</v>
      </c>
      <c r="S10" s="681">
        <f>O10</f>
        <v>1928.5714285714284</v>
      </c>
      <c r="T10" s="681">
        <f>O10</f>
        <v>1928.5714285714284</v>
      </c>
      <c r="U10" s="564"/>
      <c r="V10" s="681">
        <f>O10</f>
        <v>1928.5714285714284</v>
      </c>
      <c r="W10" s="564"/>
      <c r="X10" s="564"/>
      <c r="Z10" s="397">
        <f t="shared" si="5"/>
        <v>7714.2857142857138</v>
      </c>
    </row>
    <row r="11" spans="1:27" x14ac:dyDescent="0.25">
      <c r="A11" s="846" t="s">
        <v>266</v>
      </c>
      <c r="B11" s="851" t="s">
        <v>166</v>
      </c>
      <c r="C11" s="848">
        <f>'Greens Quantities '!B10</f>
        <v>2</v>
      </c>
      <c r="D11" s="564">
        <f>'Greens Quantities '!C10</f>
        <v>0.85</v>
      </c>
      <c r="E11" s="822">
        <v>6.43</v>
      </c>
      <c r="F11" s="592">
        <v>280</v>
      </c>
      <c r="G11" s="823">
        <f t="shared" si="1"/>
        <v>577.41835147744951</v>
      </c>
      <c r="H11" s="824">
        <f>D11*F11/M11*J11</f>
        <v>3712.8</v>
      </c>
      <c r="I11" s="824">
        <f t="shared" si="3"/>
        <v>7425.6</v>
      </c>
      <c r="J11" s="754">
        <f>'Total Order Sheet'!C40</f>
        <v>577.20000000000005</v>
      </c>
      <c r="K11" s="826">
        <f>'Greens Quantities '!K10</f>
        <v>9</v>
      </c>
      <c r="L11" s="829">
        <f t="shared" si="0"/>
        <v>5194.8</v>
      </c>
      <c r="M11" s="564">
        <v>37</v>
      </c>
      <c r="N11" s="759" t="s">
        <v>112</v>
      </c>
      <c r="O11" s="1145">
        <f t="shared" si="4"/>
        <v>3712.8</v>
      </c>
      <c r="P11" s="845"/>
      <c r="Q11" s="845"/>
      <c r="R11" s="564"/>
      <c r="S11" s="681">
        <f>O11</f>
        <v>3712.8</v>
      </c>
      <c r="T11" s="564"/>
      <c r="U11" s="564"/>
      <c r="V11" s="681">
        <f>O11</f>
        <v>3712.8</v>
      </c>
      <c r="W11" s="564"/>
      <c r="X11" s="564"/>
      <c r="Z11" s="397">
        <f t="shared" si="5"/>
        <v>7425.6</v>
      </c>
    </row>
    <row r="12" spans="1:27" x14ac:dyDescent="0.25">
      <c r="A12" s="846" t="s">
        <v>84</v>
      </c>
      <c r="B12" s="851" t="s">
        <v>344</v>
      </c>
      <c r="C12" s="848">
        <f>'Greens Quantities '!B11</f>
        <v>1</v>
      </c>
      <c r="D12" s="831">
        <f>'Greens Quantities '!C11</f>
        <v>4.0999999999999996</v>
      </c>
      <c r="E12" s="822">
        <v>6.43</v>
      </c>
      <c r="F12" s="592">
        <v>280</v>
      </c>
      <c r="G12" s="823">
        <f t="shared" si="1"/>
        <v>91.43878520822534</v>
      </c>
      <c r="H12" s="824">
        <f>D12*F12/16/M12*J12</f>
        <v>587.95138888888891</v>
      </c>
      <c r="I12" s="824">
        <f t="shared" si="3"/>
        <v>587.95138888888891</v>
      </c>
      <c r="J12" s="830">
        <f>'Total Order Sheet'!C69</f>
        <v>295</v>
      </c>
      <c r="K12" s="826">
        <f>'Greens Quantities '!K11</f>
        <v>2</v>
      </c>
      <c r="L12" s="829">
        <f t="shared" si="0"/>
        <v>590</v>
      </c>
      <c r="M12" s="564">
        <v>36</v>
      </c>
      <c r="N12" s="759" t="s">
        <v>110</v>
      </c>
      <c r="O12" s="1145">
        <f>H12</f>
        <v>587.95138888888891</v>
      </c>
      <c r="P12" s="845"/>
      <c r="Q12" s="845"/>
      <c r="R12" s="564"/>
      <c r="S12" s="681"/>
      <c r="T12" s="681"/>
      <c r="U12" s="681"/>
      <c r="V12" s="681"/>
      <c r="W12" s="681">
        <f>O12</f>
        <v>587.95138888888891</v>
      </c>
      <c r="X12" s="564"/>
      <c r="Z12" s="397">
        <f>SUM(Q12:X12)</f>
        <v>587.95138888888891</v>
      </c>
    </row>
    <row r="13" spans="1:27" x14ac:dyDescent="0.25">
      <c r="A13" s="846" t="s">
        <v>84</v>
      </c>
      <c r="B13" s="851" t="s">
        <v>344</v>
      </c>
      <c r="C13" s="956">
        <f>'Greens Quantities '!N3</f>
        <v>9</v>
      </c>
      <c r="D13" s="831">
        <f>'Greens Quantities '!O3</f>
        <v>6</v>
      </c>
      <c r="E13" s="822">
        <v>4</v>
      </c>
      <c r="F13" s="592">
        <v>175</v>
      </c>
      <c r="G13" s="823">
        <f t="shared" si="1"/>
        <v>134.44010416666669</v>
      </c>
      <c r="H13" s="824">
        <f>D13*F13/16/M13*J13</f>
        <v>537.76041666666674</v>
      </c>
      <c r="I13" s="824">
        <f t="shared" si="3"/>
        <v>4839.8437500000009</v>
      </c>
      <c r="J13" s="830">
        <f>'Total Order Sheet'!C69</f>
        <v>295</v>
      </c>
      <c r="K13" s="826">
        <f>'Greens Quantities '!W3</f>
        <v>3</v>
      </c>
      <c r="L13" s="829">
        <f t="shared" si="0"/>
        <v>885</v>
      </c>
      <c r="M13" s="564">
        <v>36</v>
      </c>
      <c r="N13" s="759" t="s">
        <v>110</v>
      </c>
      <c r="O13" s="1145">
        <f>H13</f>
        <v>537.76041666666674</v>
      </c>
      <c r="P13" s="845"/>
      <c r="Q13" s="845"/>
      <c r="R13" s="564"/>
      <c r="S13" s="681">
        <f>O13*2</f>
        <v>1075.5208333333335</v>
      </c>
      <c r="T13" s="681">
        <f>O13*2</f>
        <v>1075.5208333333335</v>
      </c>
      <c r="U13" s="681">
        <f>O13*2</f>
        <v>1075.5208333333335</v>
      </c>
      <c r="V13" s="681">
        <f>O13*2</f>
        <v>1075.5208333333335</v>
      </c>
      <c r="W13" s="681">
        <f>O13</f>
        <v>537.76041666666674</v>
      </c>
      <c r="X13" s="564"/>
      <c r="Z13" s="397"/>
    </row>
    <row r="14" spans="1:27" x14ac:dyDescent="0.25">
      <c r="A14" s="846" t="s">
        <v>16</v>
      </c>
      <c r="B14" s="851" t="s">
        <v>341</v>
      </c>
      <c r="C14" s="848">
        <f>'Greens Quantities '!B12</f>
        <v>2</v>
      </c>
      <c r="D14" s="564">
        <f>'Greens Quantities '!C12</f>
        <v>0.19600000000000001</v>
      </c>
      <c r="E14" s="822">
        <v>6.43</v>
      </c>
      <c r="F14" s="592">
        <v>280</v>
      </c>
      <c r="G14" s="823">
        <f t="shared" si="1"/>
        <v>111.73476290671792</v>
      </c>
      <c r="H14" s="824">
        <f>D14*F14/M14*J14</f>
        <v>718.45452549019615</v>
      </c>
      <c r="I14" s="824">
        <f t="shared" si="3"/>
        <v>1436.9090509803923</v>
      </c>
      <c r="J14" s="830">
        <f>'Total Order Sheet'!C32</f>
        <v>667.66</v>
      </c>
      <c r="K14" s="826">
        <f>'Greens Quantities '!K12</f>
        <v>3</v>
      </c>
      <c r="L14" s="829">
        <f t="shared" si="0"/>
        <v>2002.98</v>
      </c>
      <c r="M14" s="564">
        <v>51</v>
      </c>
      <c r="N14" s="759" t="s">
        <v>112</v>
      </c>
      <c r="O14" s="1145">
        <f t="shared" si="4"/>
        <v>718.45452549019615</v>
      </c>
      <c r="P14" s="845"/>
      <c r="Q14" s="845"/>
      <c r="R14" s="681">
        <f>O14</f>
        <v>718.45452549019615</v>
      </c>
      <c r="S14" s="564"/>
      <c r="T14" s="681">
        <f>O14</f>
        <v>718.45452549019615</v>
      </c>
      <c r="U14" s="564"/>
      <c r="V14" s="564"/>
      <c r="W14" s="564"/>
      <c r="X14" s="564"/>
      <c r="Y14" s="522"/>
      <c r="Z14" s="397">
        <f t="shared" si="5"/>
        <v>1436.9090509803923</v>
      </c>
      <c r="AA14" s="522"/>
    </row>
    <row r="15" spans="1:27" x14ac:dyDescent="0.25">
      <c r="A15" s="846" t="s">
        <v>116</v>
      </c>
      <c r="B15" s="851" t="s">
        <v>166</v>
      </c>
      <c r="C15" s="848">
        <f>'Greens Quantities '!B13</f>
        <v>1</v>
      </c>
      <c r="D15" s="564">
        <f>'Greens Quantities '!C13</f>
        <v>0.47</v>
      </c>
      <c r="E15" s="822">
        <v>6.43</v>
      </c>
      <c r="F15" s="592">
        <v>280</v>
      </c>
      <c r="G15" s="823">
        <f>H15/E15</f>
        <v>613.99688958009335</v>
      </c>
      <c r="H15" s="824">
        <f>D15*F15/M15*J15</f>
        <v>3948</v>
      </c>
      <c r="I15" s="824">
        <f t="shared" si="3"/>
        <v>3948</v>
      </c>
      <c r="J15" s="830">
        <f>'Total Order Sheet'!C42</f>
        <v>630</v>
      </c>
      <c r="K15" s="826">
        <f>'Greens Quantities '!K13</f>
        <v>0</v>
      </c>
      <c r="L15" s="829">
        <f t="shared" si="0"/>
        <v>0</v>
      </c>
      <c r="M15" s="564">
        <v>21</v>
      </c>
      <c r="N15" s="759" t="s">
        <v>112</v>
      </c>
      <c r="O15" s="1145">
        <f t="shared" si="4"/>
        <v>3948</v>
      </c>
      <c r="P15" s="845"/>
      <c r="Q15" s="845"/>
      <c r="R15" s="564"/>
      <c r="S15" s="564" t="s">
        <v>34</v>
      </c>
      <c r="T15" s="681">
        <f>O15</f>
        <v>3948</v>
      </c>
      <c r="U15" s="564"/>
      <c r="V15" s="681"/>
      <c r="W15" s="681"/>
      <c r="X15" s="564"/>
      <c r="Z15" s="397">
        <f t="shared" si="5"/>
        <v>3948</v>
      </c>
    </row>
    <row r="16" spans="1:27" x14ac:dyDescent="0.25">
      <c r="A16" s="846" t="s">
        <v>273</v>
      </c>
      <c r="B16" s="851" t="s">
        <v>345</v>
      </c>
      <c r="C16" s="848">
        <f>'Greens Quantities '!B14</f>
        <v>4</v>
      </c>
      <c r="D16" s="564">
        <f>'Greens Quantities '!C14</f>
        <v>0.6</v>
      </c>
      <c r="E16" s="822">
        <v>6.43</v>
      </c>
      <c r="F16" s="592">
        <v>280</v>
      </c>
      <c r="G16" s="823">
        <f>H16/E16</f>
        <v>354.44603421461898</v>
      </c>
      <c r="H16" s="824">
        <f>D16*F16/M16*J16</f>
        <v>2279.0879999999997</v>
      </c>
      <c r="I16" s="824">
        <f t="shared" si="3"/>
        <v>9116.351999999999</v>
      </c>
      <c r="J16" s="830">
        <f>'Total Order Sheet'!C84</f>
        <v>474.81</v>
      </c>
      <c r="K16" s="826">
        <f>'Greens Quantities '!K14</f>
        <v>20</v>
      </c>
      <c r="L16" s="829">
        <f t="shared" si="0"/>
        <v>9496.2000000000007</v>
      </c>
      <c r="M16" s="564">
        <v>35</v>
      </c>
      <c r="N16" s="759" t="s">
        <v>112</v>
      </c>
      <c r="O16" s="1145">
        <f t="shared" si="4"/>
        <v>2279.0879999999997</v>
      </c>
      <c r="P16" s="845"/>
      <c r="Q16" s="845"/>
      <c r="R16" s="564"/>
      <c r="S16" s="564"/>
      <c r="T16" s="681">
        <f>O16</f>
        <v>2279.0879999999997</v>
      </c>
      <c r="U16" s="681">
        <f>O16</f>
        <v>2279.0879999999997</v>
      </c>
      <c r="V16" s="681">
        <f>O16</f>
        <v>2279.0879999999997</v>
      </c>
      <c r="W16" s="681">
        <f>O16</f>
        <v>2279.0879999999997</v>
      </c>
      <c r="X16" s="564"/>
      <c r="Z16" s="397">
        <f t="shared" si="5"/>
        <v>9116.351999999999</v>
      </c>
    </row>
    <row r="17" spans="1:31" x14ac:dyDescent="0.25">
      <c r="A17" s="846" t="s">
        <v>114</v>
      </c>
      <c r="B17" s="851" t="s">
        <v>346</v>
      </c>
      <c r="C17" s="848">
        <f>'Greens Quantities '!B15</f>
        <v>2</v>
      </c>
      <c r="D17" s="564">
        <f>'Greens Quantities '!C15</f>
        <v>2</v>
      </c>
      <c r="E17" s="822">
        <v>6.43</v>
      </c>
      <c r="F17" s="592">
        <v>280</v>
      </c>
      <c r="G17" s="823">
        <f>H17/E17</f>
        <v>36.741835147744951</v>
      </c>
      <c r="H17" s="824">
        <f>D17*F17/128/M17*J17</f>
        <v>236.25</v>
      </c>
      <c r="I17" s="824">
        <f t="shared" si="3"/>
        <v>472.5</v>
      </c>
      <c r="J17" s="830">
        <f>'Total Order Sheet'!C52</f>
        <v>135</v>
      </c>
      <c r="K17" s="826">
        <f>'Greens Quantities '!K15</f>
        <v>0</v>
      </c>
      <c r="L17" s="829">
        <f t="shared" si="0"/>
        <v>0</v>
      </c>
      <c r="M17" s="564">
        <v>2.5</v>
      </c>
      <c r="N17" s="759" t="s">
        <v>108</v>
      </c>
      <c r="O17" s="1145">
        <f t="shared" si="4"/>
        <v>236.25</v>
      </c>
      <c r="P17" s="845"/>
      <c r="Q17" s="845"/>
      <c r="R17" s="564"/>
      <c r="S17" s="564"/>
      <c r="T17" s="564"/>
      <c r="U17" s="681">
        <f>O17</f>
        <v>236.25</v>
      </c>
      <c r="V17" s="681">
        <f>O17</f>
        <v>236.25</v>
      </c>
      <c r="W17" s="564"/>
      <c r="X17" s="564"/>
      <c r="Z17" s="397">
        <f t="shared" si="5"/>
        <v>472.5</v>
      </c>
    </row>
    <row r="18" spans="1:31" x14ac:dyDescent="0.25">
      <c r="A18" s="846" t="s">
        <v>86</v>
      </c>
      <c r="B18" s="851" t="s">
        <v>344</v>
      </c>
      <c r="C18" s="848">
        <f>'Greens Quantities '!B16</f>
        <v>1</v>
      </c>
      <c r="D18" s="564">
        <f>'Greens Quantities '!C16</f>
        <v>0.06</v>
      </c>
      <c r="E18" s="822">
        <v>6.43</v>
      </c>
      <c r="F18" s="592">
        <v>280</v>
      </c>
      <c r="G18" s="823">
        <f t="shared" si="1"/>
        <v>18.632192846034215</v>
      </c>
      <c r="H18" s="824">
        <f>D18*F18/16/M18*J18</f>
        <v>119.80500000000001</v>
      </c>
      <c r="I18" s="824">
        <f t="shared" si="3"/>
        <v>119.80500000000001</v>
      </c>
      <c r="J18" s="830">
        <f>'Total Order Sheet'!C70</f>
        <v>273.83999999999997</v>
      </c>
      <c r="K18" s="826">
        <f>'Greens Quantities '!K16</f>
        <v>0</v>
      </c>
      <c r="L18" s="829">
        <f t="shared" si="0"/>
        <v>0</v>
      </c>
      <c r="M18" s="564">
        <v>2.4</v>
      </c>
      <c r="N18" s="759" t="s">
        <v>110</v>
      </c>
      <c r="O18" s="1145">
        <f t="shared" si="4"/>
        <v>119.80500000000001</v>
      </c>
      <c r="P18" s="845"/>
      <c r="Q18" s="845"/>
      <c r="R18" s="564"/>
      <c r="S18" s="564"/>
      <c r="T18" s="564"/>
      <c r="U18" s="681"/>
      <c r="V18" s="681">
        <f>O18</f>
        <v>119.80500000000001</v>
      </c>
      <c r="W18" s="564"/>
      <c r="X18" s="564"/>
      <c r="Z18" s="397">
        <f t="shared" si="5"/>
        <v>119.80500000000001</v>
      </c>
    </row>
    <row r="19" spans="1:31" x14ac:dyDescent="0.25">
      <c r="A19" s="846" t="s">
        <v>90</v>
      </c>
      <c r="B19" s="851" t="s">
        <v>166</v>
      </c>
      <c r="C19" s="848">
        <f>'Greens Quantities '!B17</f>
        <v>1</v>
      </c>
      <c r="D19" s="564">
        <f>'Greens Quantities '!C17</f>
        <v>0.26</v>
      </c>
      <c r="E19" s="822">
        <v>6.43</v>
      </c>
      <c r="F19" s="592">
        <v>280</v>
      </c>
      <c r="G19" s="823">
        <f>H19/E19</f>
        <v>178.88646967340591</v>
      </c>
      <c r="H19" s="824">
        <f>D19*F19/M19*J19</f>
        <v>1150.24</v>
      </c>
      <c r="I19" s="824">
        <f t="shared" si="3"/>
        <v>1150.24</v>
      </c>
      <c r="J19" s="830">
        <f>'Total Order Sheet'!C45</f>
        <v>1801.2</v>
      </c>
      <c r="K19" s="826">
        <f>'Greens Quantities '!K17</f>
        <v>1</v>
      </c>
      <c r="L19" s="829">
        <f t="shared" si="0"/>
        <v>1801.2</v>
      </c>
      <c r="M19" s="564">
        <v>114</v>
      </c>
      <c r="N19" s="759" t="s">
        <v>112</v>
      </c>
      <c r="O19" s="1145">
        <f t="shared" si="4"/>
        <v>1150.24</v>
      </c>
      <c r="P19" s="845"/>
      <c r="Q19" s="845"/>
      <c r="R19" s="564"/>
      <c r="S19" s="564"/>
      <c r="T19" s="564"/>
      <c r="U19" s="564"/>
      <c r="V19" s="564"/>
      <c r="W19" s="681">
        <f>O19</f>
        <v>1150.24</v>
      </c>
      <c r="X19" s="564"/>
      <c r="Y19" s="522"/>
      <c r="Z19" s="397">
        <f t="shared" si="5"/>
        <v>1150.24</v>
      </c>
      <c r="AA19" s="522"/>
    </row>
    <row r="20" spans="1:31" x14ac:dyDescent="0.25">
      <c r="A20" s="846" t="s">
        <v>286</v>
      </c>
      <c r="B20" s="851" t="s">
        <v>165</v>
      </c>
      <c r="C20" s="848">
        <f>'Greens Quantities '!B18</f>
        <v>2</v>
      </c>
      <c r="D20" s="564">
        <f>'Greens Quantities '!C18</f>
        <v>2</v>
      </c>
      <c r="E20" s="822">
        <v>6.43</v>
      </c>
      <c r="F20" s="592">
        <v>280</v>
      </c>
      <c r="G20" s="823">
        <f t="shared" si="1"/>
        <v>417.7682737169518</v>
      </c>
      <c r="H20" s="824">
        <f>D20*F20/128/M20*J20</f>
        <v>2686.25</v>
      </c>
      <c r="I20" s="824">
        <f t="shared" si="3"/>
        <v>5372.5</v>
      </c>
      <c r="J20" s="828">
        <f>'Total Order Sheet'!C3</f>
        <v>614</v>
      </c>
      <c r="K20" s="826">
        <f>'Greens Quantities '!K18</f>
        <v>4</v>
      </c>
      <c r="L20" s="829">
        <f t="shared" si="0"/>
        <v>2456</v>
      </c>
      <c r="M20" s="564">
        <v>1</v>
      </c>
      <c r="N20" s="759" t="s">
        <v>108</v>
      </c>
      <c r="O20" s="1145">
        <f>H20</f>
        <v>2686.25</v>
      </c>
      <c r="P20" s="845"/>
      <c r="Q20" s="845"/>
      <c r="R20" s="564"/>
      <c r="S20" s="564"/>
      <c r="T20" s="564"/>
      <c r="U20" s="681">
        <f>O20</f>
        <v>2686.25</v>
      </c>
      <c r="V20" s="681">
        <f>O20</f>
        <v>2686.25</v>
      </c>
      <c r="W20" s="564"/>
      <c r="X20" s="564"/>
      <c r="Z20" s="397">
        <f t="shared" si="5"/>
        <v>5372.5</v>
      </c>
    </row>
    <row r="21" spans="1:31" x14ac:dyDescent="0.25">
      <c r="A21" s="846" t="s">
        <v>294</v>
      </c>
      <c r="B21" s="851" t="s">
        <v>165</v>
      </c>
      <c r="C21" s="848">
        <f>'Greens Quantities '!B19</f>
        <v>1</v>
      </c>
      <c r="D21" s="564">
        <f>'Greens Quantities '!C19</f>
        <v>2</v>
      </c>
      <c r="E21" s="564">
        <v>6.43</v>
      </c>
      <c r="F21" s="564">
        <v>280</v>
      </c>
      <c r="G21" s="823">
        <f>H21/E21</f>
        <v>475.60264385692068</v>
      </c>
      <c r="H21" s="824">
        <f>D21*F21/128/M21*J21</f>
        <v>3058.125</v>
      </c>
      <c r="I21" s="824">
        <f>C21*H21</f>
        <v>3058.125</v>
      </c>
      <c r="J21" s="754">
        <f>'Total Order Sheet'!C4</f>
        <v>699</v>
      </c>
      <c r="K21" s="832">
        <f>'Greens Quantities '!K19</f>
        <v>5</v>
      </c>
      <c r="L21" s="833">
        <f t="shared" si="0"/>
        <v>3495</v>
      </c>
      <c r="M21" s="564">
        <v>1</v>
      </c>
      <c r="N21" s="1166" t="s">
        <v>108</v>
      </c>
      <c r="O21" s="1145">
        <f>H21</f>
        <v>3058.125</v>
      </c>
      <c r="P21" s="845"/>
      <c r="Q21" s="845"/>
      <c r="R21" s="564"/>
      <c r="S21" s="564"/>
      <c r="T21" s="564"/>
      <c r="U21" s="564"/>
      <c r="V21" s="564"/>
      <c r="W21" s="564"/>
      <c r="X21" s="681">
        <f>O21</f>
        <v>3058.125</v>
      </c>
      <c r="Z21" s="397">
        <f t="shared" si="5"/>
        <v>3058.125</v>
      </c>
    </row>
    <row r="22" spans="1:31" x14ac:dyDescent="0.25">
      <c r="A22" s="847" t="s">
        <v>347</v>
      </c>
      <c r="B22" s="852" t="s">
        <v>348</v>
      </c>
      <c r="C22" s="849">
        <f>'Greens Quantities '!B20</f>
        <v>1</v>
      </c>
      <c r="D22" s="834">
        <f>'Greens Quantities '!C20</f>
        <v>3.25</v>
      </c>
      <c r="E22" s="834">
        <v>6.43</v>
      </c>
      <c r="F22" s="834">
        <v>280</v>
      </c>
      <c r="G22" s="835">
        <f>H22/E22</f>
        <v>407.98746111975117</v>
      </c>
      <c r="H22" s="836">
        <f t="shared" si="2"/>
        <v>2623.359375</v>
      </c>
      <c r="I22" s="836">
        <f>C22*H22</f>
        <v>2623.359375</v>
      </c>
      <c r="J22" s="837">
        <f>'Total Order Sheet'!C78</f>
        <v>922.5</v>
      </c>
      <c r="K22" s="838">
        <f>'Greens Quantities '!K20</f>
        <v>0</v>
      </c>
      <c r="L22" s="839">
        <v>0</v>
      </c>
      <c r="M22" s="840">
        <v>2.5</v>
      </c>
      <c r="N22" s="1167" t="s">
        <v>108</v>
      </c>
      <c r="O22" s="1145">
        <f>H22</f>
        <v>2623.359375</v>
      </c>
      <c r="P22" s="845"/>
      <c r="Q22" s="845"/>
      <c r="R22" s="564"/>
      <c r="S22" s="564"/>
      <c r="T22" s="564"/>
      <c r="U22" s="681">
        <f>O22</f>
        <v>2623.359375</v>
      </c>
      <c r="V22" s="564"/>
      <c r="W22" s="564"/>
      <c r="X22" s="564"/>
      <c r="Z22" s="397">
        <f t="shared" si="5"/>
        <v>2623.359375</v>
      </c>
    </row>
    <row r="23" spans="1:31" x14ac:dyDescent="0.25">
      <c r="A23" s="774" t="s">
        <v>124</v>
      </c>
      <c r="B23" s="775" t="s">
        <v>342</v>
      </c>
      <c r="C23" s="776">
        <f>'Greens Quantities '!B24</f>
        <v>1</v>
      </c>
      <c r="D23" s="777">
        <f>'Greens Quantities '!C24</f>
        <v>0.37</v>
      </c>
      <c r="E23" s="777">
        <v>6.43</v>
      </c>
      <c r="F23" s="777">
        <v>280</v>
      </c>
      <c r="G23" s="778">
        <f>D23*43.56/128/M23*J23</f>
        <v>221.35966875</v>
      </c>
      <c r="H23" s="778">
        <f>G23*E23</f>
        <v>1423.3426700625</v>
      </c>
      <c r="I23" s="778">
        <f>H23*C23</f>
        <v>1423.3426700625</v>
      </c>
      <c r="J23" s="779">
        <f>'Total Order Sheet'!C13</f>
        <v>879</v>
      </c>
      <c r="K23" s="780">
        <f>'Greens Quantities '!K24</f>
        <v>0</v>
      </c>
      <c r="L23" s="781">
        <f>K23*J23</f>
        <v>0</v>
      </c>
      <c r="M23" s="777">
        <v>0.5</v>
      </c>
      <c r="N23" s="1168" t="s">
        <v>108</v>
      </c>
      <c r="O23" s="1145">
        <f t="shared" ref="O23:O33" si="6">H23</f>
        <v>1423.3426700625</v>
      </c>
      <c r="P23" s="782"/>
      <c r="Q23" s="782"/>
      <c r="R23" s="571"/>
      <c r="S23" s="783">
        <f>O23</f>
        <v>1423.3426700625</v>
      </c>
      <c r="T23" s="571"/>
      <c r="U23" s="571"/>
      <c r="V23" s="571"/>
      <c r="W23" s="571"/>
      <c r="X23" s="571"/>
      <c r="Z23" s="397">
        <f t="shared" si="5"/>
        <v>1423.3426700625</v>
      </c>
    </row>
    <row r="24" spans="1:31" x14ac:dyDescent="0.25">
      <c r="A24" s="784" t="s">
        <v>57</v>
      </c>
      <c r="B24" s="785" t="s">
        <v>346</v>
      </c>
      <c r="C24" s="786">
        <f>'Greens Quantities '!B25</f>
        <v>1</v>
      </c>
      <c r="D24" s="777">
        <f>'Greens Quantities '!C25</f>
        <v>3</v>
      </c>
      <c r="E24" s="777">
        <v>6.43</v>
      </c>
      <c r="F24" s="777">
        <v>280</v>
      </c>
      <c r="G24" s="787">
        <f>D24*43.56/128/M24*J24</f>
        <v>283.82062500000001</v>
      </c>
      <c r="H24" s="788">
        <f>G24*E24</f>
        <v>1824.96661875</v>
      </c>
      <c r="I24" s="788">
        <f>H24*C24</f>
        <v>1824.96661875</v>
      </c>
      <c r="J24" s="789">
        <f>'Total Order Sheet'!C53</f>
        <v>695</v>
      </c>
      <c r="K24" s="790">
        <f>'Greens Quantities '!K25</f>
        <v>3</v>
      </c>
      <c r="L24" s="791">
        <f>K24*J24</f>
        <v>2085</v>
      </c>
      <c r="M24" s="571">
        <v>2.5</v>
      </c>
      <c r="N24" s="760" t="s">
        <v>108</v>
      </c>
      <c r="O24" s="1145">
        <f t="shared" si="6"/>
        <v>1824.96661875</v>
      </c>
      <c r="P24" s="782"/>
      <c r="Q24" s="782"/>
      <c r="R24" s="571"/>
      <c r="S24" s="783">
        <f>O24</f>
        <v>1824.96661875</v>
      </c>
      <c r="T24" s="571"/>
      <c r="U24" s="571"/>
      <c r="V24" s="571"/>
      <c r="W24" s="571"/>
      <c r="X24" s="571"/>
      <c r="Z24" s="397">
        <f t="shared" si="5"/>
        <v>1824.96661875</v>
      </c>
    </row>
    <row r="25" spans="1:31" x14ac:dyDescent="0.25">
      <c r="A25" s="784" t="s">
        <v>69</v>
      </c>
      <c r="B25" s="785" t="s">
        <v>172</v>
      </c>
      <c r="C25" s="786">
        <f>'Greens Quantities '!B26</f>
        <v>1</v>
      </c>
      <c r="D25" s="777">
        <f>'Greens Quantities '!C26</f>
        <v>0.37</v>
      </c>
      <c r="E25" s="777">
        <v>6.43</v>
      </c>
      <c r="F25" s="777">
        <v>280</v>
      </c>
      <c r="G25" s="788">
        <f>D25*43.56/M25*J25</f>
        <v>221.35966875</v>
      </c>
      <c r="H25" s="792">
        <f>G25*E25</f>
        <v>1423.3426700625</v>
      </c>
      <c r="I25" s="788">
        <f>H25*C25</f>
        <v>1423.3426700625</v>
      </c>
      <c r="J25" s="789">
        <f>'Total Order Sheet'!C90</f>
        <v>879</v>
      </c>
      <c r="K25" s="790">
        <f>'Greens Quantities '!K26</f>
        <v>0</v>
      </c>
      <c r="L25" s="791">
        <v>0</v>
      </c>
      <c r="M25" s="571">
        <v>64</v>
      </c>
      <c r="N25" s="760" t="s">
        <v>112</v>
      </c>
      <c r="O25" s="1145">
        <f t="shared" si="6"/>
        <v>1423.3426700625</v>
      </c>
      <c r="P25" s="782"/>
      <c r="Q25" s="782"/>
      <c r="R25" s="571"/>
      <c r="S25" s="571"/>
      <c r="T25" s="783">
        <f>O25</f>
        <v>1423.3426700625</v>
      </c>
      <c r="U25" s="571"/>
      <c r="V25" s="571"/>
      <c r="W25" s="571"/>
      <c r="X25" s="571"/>
      <c r="Z25" s="397">
        <f t="shared" si="5"/>
        <v>1423.3426700625</v>
      </c>
    </row>
    <row r="26" spans="1:31" x14ac:dyDescent="0.25">
      <c r="A26" s="784" t="s">
        <v>77</v>
      </c>
      <c r="B26" s="785" t="s">
        <v>342</v>
      </c>
      <c r="C26" s="786">
        <f>'Greens Quantities '!B27</f>
        <v>1</v>
      </c>
      <c r="D26" s="777">
        <f>'Greens Quantities '!C27</f>
        <v>0.28000000000000003</v>
      </c>
      <c r="E26" s="777">
        <v>6.43</v>
      </c>
      <c r="F26" s="777">
        <v>280</v>
      </c>
      <c r="G26" s="778">
        <f>D26*43.56/M26*J26</f>
        <v>166.30845000000002</v>
      </c>
      <c r="H26" s="788">
        <f>G26*E26</f>
        <v>1069.3633335000002</v>
      </c>
      <c r="I26" s="788">
        <f>H26*C26</f>
        <v>1069.3633335000002</v>
      </c>
      <c r="J26" s="789">
        <f>'Total Order Sheet'!C5</f>
        <v>1309</v>
      </c>
      <c r="K26" s="790">
        <f>'Greens Quantities '!K27</f>
        <v>1</v>
      </c>
      <c r="L26" s="791">
        <f>K26*J26</f>
        <v>1309</v>
      </c>
      <c r="M26" s="571">
        <v>96</v>
      </c>
      <c r="N26" s="760" t="s">
        <v>112</v>
      </c>
      <c r="O26" s="1145">
        <f t="shared" si="6"/>
        <v>1069.3633335000002</v>
      </c>
      <c r="P26" s="782"/>
      <c r="Q26" s="782"/>
      <c r="R26" s="571"/>
      <c r="S26" s="571"/>
      <c r="T26" s="571"/>
      <c r="U26" s="783">
        <f>O26</f>
        <v>1069.3633335000002</v>
      </c>
      <c r="V26" s="571"/>
      <c r="W26" s="571"/>
      <c r="X26" s="571"/>
      <c r="Z26" s="397">
        <f>SUM(Q26:X26)</f>
        <v>1069.3633335000002</v>
      </c>
    </row>
    <row r="27" spans="1:31" x14ac:dyDescent="0.25">
      <c r="A27" s="793" t="s">
        <v>64</v>
      </c>
      <c r="B27" s="794" t="s">
        <v>341</v>
      </c>
      <c r="C27" s="795">
        <f>'Greens Quantities '!B28</f>
        <v>2</v>
      </c>
      <c r="D27" s="777">
        <f>'Greens Quantities '!C28</f>
        <v>0.73499999999999999</v>
      </c>
      <c r="E27" s="796">
        <v>6.43</v>
      </c>
      <c r="F27" s="796">
        <v>280</v>
      </c>
      <c r="G27" s="787">
        <f>D27*43.56/128/M27*J27</f>
        <v>132.06847500000001</v>
      </c>
      <c r="H27" s="787">
        <f>G27*E27</f>
        <v>849.20029424999996</v>
      </c>
      <c r="I27" s="787">
        <f>H27*C27</f>
        <v>1698.4005884999999</v>
      </c>
      <c r="J27" s="797">
        <f>'Total Order Sheet'!C33</f>
        <v>528</v>
      </c>
      <c r="K27" s="798">
        <f>'Greens Quantities '!K28</f>
        <v>4</v>
      </c>
      <c r="L27" s="799">
        <f>K27*J27</f>
        <v>2112</v>
      </c>
      <c r="M27" s="589">
        <v>1</v>
      </c>
      <c r="N27" s="1169" t="s">
        <v>108</v>
      </c>
      <c r="O27" s="1145">
        <f t="shared" si="6"/>
        <v>849.20029424999996</v>
      </c>
      <c r="P27" s="782"/>
      <c r="Q27" s="782"/>
      <c r="R27" s="571"/>
      <c r="S27" s="783">
        <f>O27</f>
        <v>849.20029424999996</v>
      </c>
      <c r="T27" s="571"/>
      <c r="U27" s="571"/>
      <c r="V27" s="783">
        <f>O27</f>
        <v>849.20029424999996</v>
      </c>
      <c r="W27" s="571"/>
      <c r="X27" s="571"/>
      <c r="Z27" s="397">
        <f t="shared" si="5"/>
        <v>1698.4005884999999</v>
      </c>
      <c r="AE27" s="746">
        <f>SUM(R28+S23+S24+S27+S29+T25+T29+U26+U29+V27+V29)</f>
        <v>19460.261874887499</v>
      </c>
    </row>
    <row r="28" spans="1:31" x14ac:dyDescent="0.25">
      <c r="A28" s="784" t="s">
        <v>247</v>
      </c>
      <c r="B28" s="785" t="s">
        <v>341</v>
      </c>
      <c r="C28" s="786">
        <f>'Greens Quantities '!B29</f>
        <v>1</v>
      </c>
      <c r="D28" s="777">
        <f>'Greens Quantities '!C29</f>
        <v>0.19500000000000001</v>
      </c>
      <c r="E28" s="571">
        <v>6.43</v>
      </c>
      <c r="F28" s="571">
        <v>280</v>
      </c>
      <c r="G28" s="788">
        <f>D28*43.56/M28*J28</f>
        <v>926.62284000000011</v>
      </c>
      <c r="H28" s="788">
        <f t="shared" ref="H28" si="7">G28*E28</f>
        <v>5958.1848612000003</v>
      </c>
      <c r="I28" s="788">
        <f t="shared" ref="I28" si="8">H28*C28</f>
        <v>5958.1848612000003</v>
      </c>
      <c r="J28" s="789">
        <f>'Total Order Sheet'!C34</f>
        <v>1865.42</v>
      </c>
      <c r="K28" s="790">
        <f>'Greens Quantities '!K29</f>
        <v>4</v>
      </c>
      <c r="L28" s="791">
        <f>J28*K28</f>
        <v>7461.68</v>
      </c>
      <c r="M28" s="571">
        <v>17.100000000000001</v>
      </c>
      <c r="N28" s="760" t="s">
        <v>112</v>
      </c>
      <c r="O28" s="1145">
        <f>H28</f>
        <v>5958.1848612000003</v>
      </c>
      <c r="P28" s="782"/>
      <c r="Q28" s="1144"/>
      <c r="R28" s="783">
        <f>O28</f>
        <v>5958.1848612000003</v>
      </c>
      <c r="S28" s="571"/>
      <c r="T28" s="571"/>
      <c r="U28" s="571"/>
      <c r="V28" s="571"/>
      <c r="W28" s="571"/>
      <c r="X28" s="571"/>
      <c r="Z28" s="397">
        <f>SUM(Q28:X28)</f>
        <v>5958.1848612000003</v>
      </c>
    </row>
    <row r="29" spans="1:31" x14ac:dyDescent="0.25">
      <c r="A29" s="793" t="s">
        <v>259</v>
      </c>
      <c r="B29" s="794" t="s">
        <v>342</v>
      </c>
      <c r="C29" s="795">
        <f>'Greens Quantities '!B30</f>
        <v>5</v>
      </c>
      <c r="D29" s="796">
        <f>'Greens Quantities '!C30</f>
        <v>0.14348025711662074</v>
      </c>
      <c r="E29" s="589">
        <v>6.43</v>
      </c>
      <c r="F29" s="589">
        <v>280</v>
      </c>
      <c r="G29" s="787">
        <f>D29*43.56/M29*J29</f>
        <v>188.57421875</v>
      </c>
      <c r="H29" s="787">
        <f t="shared" ref="H29:H34" si="9">G29*E29</f>
        <v>1212.5322265625</v>
      </c>
      <c r="I29" s="787">
        <f>F29*D29/M29*J29</f>
        <v>1212.1391471533516</v>
      </c>
      <c r="J29" s="797">
        <f>'Total Order Sheet'!C12</f>
        <v>1931</v>
      </c>
      <c r="K29" s="798">
        <f>'Greens Quantities '!K30</f>
        <v>4</v>
      </c>
      <c r="L29" s="799">
        <f t="shared" ref="L29:L34" si="10">K29*J29</f>
        <v>7724</v>
      </c>
      <c r="M29" s="589">
        <v>64</v>
      </c>
      <c r="N29" s="1169" t="s">
        <v>112</v>
      </c>
      <c r="O29" s="1145">
        <f>H29</f>
        <v>1212.5322265625</v>
      </c>
      <c r="P29" s="782"/>
      <c r="Q29" s="782"/>
      <c r="R29" s="571"/>
      <c r="S29" s="783">
        <f>O29</f>
        <v>1212.5322265625</v>
      </c>
      <c r="T29" s="783">
        <f>O29</f>
        <v>1212.5322265625</v>
      </c>
      <c r="U29" s="783">
        <f>O29</f>
        <v>1212.5322265625</v>
      </c>
      <c r="V29" s="783">
        <f>O29*2</f>
        <v>2425.064453125</v>
      </c>
      <c r="W29" s="783"/>
      <c r="X29" s="571"/>
      <c r="Y29" s="522"/>
      <c r="Z29" s="397">
        <f t="shared" si="5"/>
        <v>6062.6611328125</v>
      </c>
      <c r="AA29" s="522"/>
    </row>
    <row r="30" spans="1:31" x14ac:dyDescent="0.25">
      <c r="A30" s="801" t="s">
        <v>14</v>
      </c>
      <c r="B30" s="800" t="s">
        <v>342</v>
      </c>
      <c r="C30" s="1148">
        <f>'Greens Quantities '!B33</f>
        <v>19</v>
      </c>
      <c r="D30" s="803">
        <f>'Greens Quantities '!C33</f>
        <v>0.125</v>
      </c>
      <c r="E30" s="803">
        <v>6.43</v>
      </c>
      <c r="F30" s="803">
        <v>280</v>
      </c>
      <c r="G30" s="1147">
        <f>D30*43.56/128/M30*J30</f>
        <v>12.846796874999999</v>
      </c>
      <c r="H30" s="1147">
        <f t="shared" si="9"/>
        <v>82.604903906249987</v>
      </c>
      <c r="I30" s="1147">
        <f t="shared" ref="I30:I35" si="11">H30*C30</f>
        <v>1569.4931742187498</v>
      </c>
      <c r="J30" s="819">
        <f>'Total Order Sheet'!C10</f>
        <v>3020</v>
      </c>
      <c r="K30" s="1481">
        <f>'Greens Quantities '!K33</f>
        <v>0</v>
      </c>
      <c r="L30" s="1147">
        <f t="shared" si="10"/>
        <v>0</v>
      </c>
      <c r="M30" s="1148">
        <v>10</v>
      </c>
      <c r="N30" s="1170" t="s">
        <v>108</v>
      </c>
      <c r="O30" s="1145">
        <f>H30</f>
        <v>82.604903906249987</v>
      </c>
      <c r="P30" s="802"/>
      <c r="Q30" s="802"/>
      <c r="R30" s="803"/>
      <c r="S30" s="804">
        <f>O30</f>
        <v>82.604903906249987</v>
      </c>
      <c r="T30" s="804">
        <f>O30*4</f>
        <v>330.41961562499995</v>
      </c>
      <c r="U30" s="804">
        <f>O30*5</f>
        <v>413.02451953124995</v>
      </c>
      <c r="V30" s="804">
        <f>O30*4</f>
        <v>330.41961562499995</v>
      </c>
      <c r="W30" s="804">
        <f>O30*4</f>
        <v>330.41961562499995</v>
      </c>
      <c r="X30" s="804">
        <f>O30</f>
        <v>82.604903906249987</v>
      </c>
      <c r="Z30" s="397">
        <f t="shared" si="5"/>
        <v>1569.4931742187498</v>
      </c>
    </row>
    <row r="31" spans="1:31" x14ac:dyDescent="0.25">
      <c r="A31" s="1163" t="s">
        <v>50</v>
      </c>
      <c r="B31" s="1161" t="s">
        <v>344</v>
      </c>
      <c r="C31" s="1152">
        <f>'Greens Quantities '!B34</f>
        <v>19</v>
      </c>
      <c r="D31" s="1146">
        <f>'Greens Quantities '!C34</f>
        <v>0.125</v>
      </c>
      <c r="E31" s="1146">
        <v>6.43</v>
      </c>
      <c r="F31" s="803">
        <v>280</v>
      </c>
      <c r="G31" s="1147">
        <f>D31*43.56/128/M31*J31</f>
        <v>12.93612890625</v>
      </c>
      <c r="H31" s="1147">
        <f t="shared" si="9"/>
        <v>83.179308867187487</v>
      </c>
      <c r="I31" s="1147">
        <f t="shared" si="11"/>
        <v>1580.4068684765623</v>
      </c>
      <c r="J31" s="1153">
        <f>'Total Order Sheet'!C71</f>
        <v>760.25</v>
      </c>
      <c r="K31" s="1482">
        <f>'Greens Quantities '!K34</f>
        <v>0</v>
      </c>
      <c r="L31" s="1147">
        <f t="shared" si="10"/>
        <v>0</v>
      </c>
      <c r="M31" s="1152">
        <v>2.5</v>
      </c>
      <c r="N31" s="1171" t="s">
        <v>108</v>
      </c>
      <c r="O31" s="1145">
        <f>H31</f>
        <v>83.179308867187487</v>
      </c>
      <c r="P31" s="802"/>
      <c r="Q31" s="802"/>
      <c r="R31" s="803"/>
      <c r="S31" s="804">
        <f>O31</f>
        <v>83.179308867187487</v>
      </c>
      <c r="T31" s="804">
        <f>O31*4</f>
        <v>332.71723546874995</v>
      </c>
      <c r="U31" s="804">
        <f>O31*5</f>
        <v>415.89654433593745</v>
      </c>
      <c r="V31" s="804">
        <f>O31*4</f>
        <v>332.71723546874995</v>
      </c>
      <c r="W31" s="804">
        <f>O31*4</f>
        <v>332.71723546874995</v>
      </c>
      <c r="X31" s="804">
        <f>O31</f>
        <v>83.179308867187487</v>
      </c>
      <c r="Z31" s="397"/>
    </row>
    <row r="32" spans="1:31" x14ac:dyDescent="0.25">
      <c r="A32" s="806" t="s">
        <v>32</v>
      </c>
      <c r="B32" s="805" t="s">
        <v>174</v>
      </c>
      <c r="C32" s="997">
        <f>'Greens Quantities '!B37</f>
        <v>11</v>
      </c>
      <c r="D32" s="593">
        <f>'Greens Quantities '!C37</f>
        <v>1.5</v>
      </c>
      <c r="E32" s="593">
        <v>6.43</v>
      </c>
      <c r="F32" s="593">
        <v>280</v>
      </c>
      <c r="G32" s="1149">
        <f>D32*43.56/128/M32*J32</f>
        <v>74.222156250000012</v>
      </c>
      <c r="H32" s="1149">
        <f t="shared" si="9"/>
        <v>477.24846468750007</v>
      </c>
      <c r="I32" s="1149">
        <f t="shared" si="11"/>
        <v>5249.7331115625011</v>
      </c>
      <c r="J32" s="1150">
        <f>'Total Order Sheet'!C105</f>
        <v>7997</v>
      </c>
      <c r="K32" s="1151">
        <f>'Greens Quantities '!K37</f>
        <v>1</v>
      </c>
      <c r="L32" s="1158">
        <f t="shared" si="10"/>
        <v>7997</v>
      </c>
      <c r="M32" s="593">
        <v>55</v>
      </c>
      <c r="N32" s="763" t="s">
        <v>108</v>
      </c>
      <c r="O32" s="1145">
        <f>H32</f>
        <v>477.24846468750007</v>
      </c>
      <c r="P32" s="807"/>
      <c r="Q32" s="807"/>
      <c r="R32" s="808">
        <f>O32</f>
        <v>477.24846468750007</v>
      </c>
      <c r="S32" s="808">
        <f>O32*2</f>
        <v>954.49692937500015</v>
      </c>
      <c r="T32" s="808">
        <f>O32*3</f>
        <v>1431.7453940625003</v>
      </c>
      <c r="U32" s="808">
        <f>O32*2</f>
        <v>954.49692937500015</v>
      </c>
      <c r="V32" s="808">
        <f>O32*2</f>
        <v>954.49692937500015</v>
      </c>
      <c r="W32" s="808">
        <f>O32</f>
        <v>477.24846468750007</v>
      </c>
      <c r="X32" s="593"/>
      <c r="Z32" s="397">
        <f t="shared" si="5"/>
        <v>5249.7331115625011</v>
      </c>
    </row>
    <row r="33" spans="1:26" x14ac:dyDescent="0.25">
      <c r="A33" s="1164" t="s">
        <v>239</v>
      </c>
      <c r="B33" s="1162" t="s">
        <v>174</v>
      </c>
      <c r="C33" s="1154">
        <f>'Greens Quantities '!B38</f>
        <v>21</v>
      </c>
      <c r="D33" s="1155">
        <f>'Greens Quantities '!C38</f>
        <v>0.71</v>
      </c>
      <c r="E33" s="1155">
        <v>6.43</v>
      </c>
      <c r="F33" s="1156">
        <v>280</v>
      </c>
      <c r="G33" s="1157">
        <f>D33*43.56/128/M33*J33</f>
        <v>27.399920625</v>
      </c>
      <c r="H33" s="1158">
        <f t="shared" si="9"/>
        <v>176.18148961874999</v>
      </c>
      <c r="I33" s="1158">
        <f t="shared" si="11"/>
        <v>3699.8112819937496</v>
      </c>
      <c r="J33" s="1159">
        <f>'Total Order Sheet'!C106</f>
        <v>283.5</v>
      </c>
      <c r="K33" s="1160">
        <f>'Greens Quantities '!K38</f>
        <v>13</v>
      </c>
      <c r="L33" s="1158">
        <f t="shared" si="10"/>
        <v>3685.5</v>
      </c>
      <c r="M33" s="1155">
        <v>2.5</v>
      </c>
      <c r="N33" s="1172" t="s">
        <v>108</v>
      </c>
      <c r="O33" s="1145">
        <f t="shared" si="6"/>
        <v>176.18148961874999</v>
      </c>
      <c r="P33" s="807"/>
      <c r="Q33" s="1142">
        <f>O33</f>
        <v>176.18148961874999</v>
      </c>
      <c r="R33" s="808">
        <f>O33</f>
        <v>176.18148961874999</v>
      </c>
      <c r="S33" s="808">
        <f>O33*4</f>
        <v>704.72595847499997</v>
      </c>
      <c r="T33" s="808">
        <f>O33*5</f>
        <v>880.90744809374996</v>
      </c>
      <c r="U33" s="808">
        <f>O33*3</f>
        <v>528.54446885624998</v>
      </c>
      <c r="V33" s="808">
        <f>O33*5</f>
        <v>880.90744809374996</v>
      </c>
      <c r="W33" s="808">
        <f>O33*2</f>
        <v>352.36297923749999</v>
      </c>
      <c r="X33" s="808">
        <f>O33</f>
        <v>176.18148961874999</v>
      </c>
      <c r="Z33" s="397">
        <f>SUM(Q33:X33)</f>
        <v>3875.9927716125003</v>
      </c>
    </row>
    <row r="34" spans="1:26" x14ac:dyDescent="0.25">
      <c r="A34" s="1472" t="s">
        <v>349</v>
      </c>
      <c r="B34" s="1471" t="s">
        <v>345</v>
      </c>
      <c r="C34" s="1473">
        <f>'Greens Quantities '!B41</f>
        <v>23</v>
      </c>
      <c r="D34" s="809">
        <f>'Greens Quantities '!C41</f>
        <v>2.8000000000000001E-2</v>
      </c>
      <c r="E34" s="809">
        <v>6.43</v>
      </c>
      <c r="F34" s="809">
        <v>280</v>
      </c>
      <c r="G34" s="810">
        <f>D34*43.56/M34*J34</f>
        <v>35.523180000000004</v>
      </c>
      <c r="H34" s="810">
        <f t="shared" si="9"/>
        <v>228.41404740000002</v>
      </c>
      <c r="I34" s="810">
        <f t="shared" si="11"/>
        <v>5253.5230902000003</v>
      </c>
      <c r="J34" s="1474">
        <f>'Total Order Sheet'!C85</f>
        <v>233</v>
      </c>
      <c r="K34" s="1475">
        <f>'Greens Quantities '!K41</f>
        <v>20</v>
      </c>
      <c r="L34" s="810">
        <f t="shared" si="10"/>
        <v>4660</v>
      </c>
      <c r="M34" s="809">
        <v>8</v>
      </c>
      <c r="N34" s="1476" t="s">
        <v>112</v>
      </c>
      <c r="O34" s="1477">
        <f>H34</f>
        <v>228.41404740000002</v>
      </c>
      <c r="P34" s="1478"/>
      <c r="Q34" s="1478"/>
      <c r="R34" s="1479"/>
      <c r="S34" s="1480">
        <f>O34*5</f>
        <v>1142.0702370000001</v>
      </c>
      <c r="T34" s="1480">
        <f>O34*4</f>
        <v>913.65618960000006</v>
      </c>
      <c r="U34" s="1480">
        <f>O34*5</f>
        <v>1142.0702370000001</v>
      </c>
      <c r="V34" s="1480">
        <f>O34*4</f>
        <v>913.65618960000006</v>
      </c>
      <c r="W34" s="1480">
        <f>O34*3</f>
        <v>685.24214219999999</v>
      </c>
      <c r="X34" s="1480">
        <f>O34</f>
        <v>228.41404740000002</v>
      </c>
      <c r="Z34" s="397">
        <f>SUM(Q34:X34)</f>
        <v>5025.1090427999998</v>
      </c>
    </row>
    <row r="35" spans="1:26" x14ac:dyDescent="0.25">
      <c r="A35" s="1491" t="s">
        <v>308</v>
      </c>
      <c r="B35" s="1434" t="s">
        <v>350</v>
      </c>
      <c r="C35" s="1434">
        <v>10</v>
      </c>
      <c r="D35" s="1414">
        <v>1.88</v>
      </c>
      <c r="E35" s="1414">
        <v>6.43</v>
      </c>
      <c r="F35" s="1414">
        <v>280</v>
      </c>
      <c r="G35" s="1483">
        <f>H35/E35</f>
        <v>51.348063349498929</v>
      </c>
      <c r="H35" s="1432">
        <f>D35*F35/M35*J35</f>
        <v>330.1680473372781</v>
      </c>
      <c r="I35" s="1432">
        <f t="shared" si="11"/>
        <v>3301.6804733727809</v>
      </c>
      <c r="J35" s="1432">
        <v>106</v>
      </c>
      <c r="K35" s="1414">
        <f>'Greens Quantities '!I44</f>
        <v>32</v>
      </c>
      <c r="L35" s="1432">
        <f>J35*K35</f>
        <v>3392</v>
      </c>
      <c r="M35" s="1414">
        <v>169</v>
      </c>
      <c r="N35" s="1414" t="s">
        <v>112</v>
      </c>
      <c r="O35" s="1070">
        <f>H35</f>
        <v>330.1680473372781</v>
      </c>
      <c r="P35" s="1414"/>
      <c r="Q35" s="1432">
        <f>O35</f>
        <v>330.1680473372781</v>
      </c>
      <c r="R35" s="1432">
        <f>O35</f>
        <v>330.1680473372781</v>
      </c>
      <c r="S35" s="1432">
        <f>O35</f>
        <v>330.1680473372781</v>
      </c>
      <c r="T35" s="1432">
        <f>O35*2</f>
        <v>660.33609467455619</v>
      </c>
      <c r="U35" s="1432">
        <f>O35*2</f>
        <v>660.33609467455619</v>
      </c>
      <c r="V35" s="1432">
        <f>O35*2</f>
        <v>660.33609467455619</v>
      </c>
      <c r="W35" s="1432">
        <f>O35</f>
        <v>330.1680473372781</v>
      </c>
      <c r="X35" s="1414"/>
      <c r="Z35" s="424">
        <f>SUM(Q35:W35)</f>
        <v>3301.6804733727809</v>
      </c>
    </row>
    <row r="36" spans="1:26" x14ac:dyDescent="0.25">
      <c r="A36" s="1492" t="s">
        <v>309</v>
      </c>
      <c r="B36" s="1434" t="s">
        <v>350</v>
      </c>
      <c r="C36" s="1434">
        <v>10</v>
      </c>
      <c r="D36" s="1414">
        <v>1.88</v>
      </c>
      <c r="E36" s="1414">
        <v>6.43</v>
      </c>
      <c r="F36" s="1414">
        <v>280</v>
      </c>
      <c r="G36" s="1483">
        <f t="shared" ref="G36:G53" si="12">H36/E36</f>
        <v>70.482483182566924</v>
      </c>
      <c r="H36" s="1432">
        <f t="shared" ref="H36:H38" si="13">D36*F36/M36*J36</f>
        <v>453.2023668639053</v>
      </c>
      <c r="I36" s="1432">
        <f t="shared" ref="I36:I52" si="14">H36*C36</f>
        <v>4532.0236686390526</v>
      </c>
      <c r="J36" s="1432">
        <v>145.5</v>
      </c>
      <c r="K36" s="1414">
        <f>'Greens Quantities '!I45</f>
        <v>32</v>
      </c>
      <c r="L36" s="1432">
        <f t="shared" ref="L36:L52" si="15">J36*K36</f>
        <v>4656</v>
      </c>
      <c r="M36" s="1414">
        <v>169</v>
      </c>
      <c r="N36" s="1414" t="s">
        <v>112</v>
      </c>
      <c r="O36" s="1070">
        <f t="shared" ref="O36:O52" si="16">H36</f>
        <v>453.2023668639053</v>
      </c>
      <c r="P36" s="1414"/>
      <c r="Q36" s="1432">
        <f>O36</f>
        <v>453.2023668639053</v>
      </c>
      <c r="R36" s="1432">
        <f>O36</f>
        <v>453.2023668639053</v>
      </c>
      <c r="S36" s="1432">
        <f>O36</f>
        <v>453.2023668639053</v>
      </c>
      <c r="T36" s="1432">
        <f>O36*2</f>
        <v>906.40473372781059</v>
      </c>
      <c r="U36" s="1432">
        <f>O36*2</f>
        <v>906.40473372781059</v>
      </c>
      <c r="V36" s="1432">
        <f>O36*2</f>
        <v>906.40473372781059</v>
      </c>
      <c r="W36" s="1432">
        <f>O36</f>
        <v>453.2023668639053</v>
      </c>
      <c r="X36" s="1414"/>
      <c r="Z36" s="424">
        <f>SUM(Q36:W36)</f>
        <v>4532.0236686390526</v>
      </c>
    </row>
    <row r="37" spans="1:26" x14ac:dyDescent="0.25">
      <c r="A37" s="1492" t="s">
        <v>310</v>
      </c>
      <c r="B37" s="1434" t="s">
        <v>350</v>
      </c>
      <c r="C37" s="1434">
        <v>6</v>
      </c>
      <c r="D37" s="1414">
        <v>1.25</v>
      </c>
      <c r="E37" s="1414">
        <v>6.43</v>
      </c>
      <c r="F37" s="1414">
        <v>280</v>
      </c>
      <c r="G37" s="1483">
        <f t="shared" si="12"/>
        <v>41.709994754617313</v>
      </c>
      <c r="H37" s="1432">
        <f t="shared" si="13"/>
        <v>268.19526627218931</v>
      </c>
      <c r="I37" s="1432">
        <f t="shared" si="14"/>
        <v>1609.1715976331359</v>
      </c>
      <c r="J37" s="1432">
        <v>129.5</v>
      </c>
      <c r="K37" s="1414">
        <f>'Greens Quantities '!I46</f>
        <v>13</v>
      </c>
      <c r="L37" s="1432">
        <f t="shared" si="15"/>
        <v>1683.5</v>
      </c>
      <c r="M37" s="1414">
        <v>169</v>
      </c>
      <c r="N37" s="1414" t="s">
        <v>112</v>
      </c>
      <c r="O37" s="1070">
        <f t="shared" si="16"/>
        <v>268.19526627218931</v>
      </c>
      <c r="P37" s="1414"/>
      <c r="Q37" s="1432">
        <f>O37</f>
        <v>268.19526627218931</v>
      </c>
      <c r="R37" s="1432">
        <f>O37</f>
        <v>268.19526627218931</v>
      </c>
      <c r="S37" s="1432">
        <f>O37</f>
        <v>268.19526627218931</v>
      </c>
      <c r="T37" s="1432">
        <f>O37</f>
        <v>268.19526627218931</v>
      </c>
      <c r="U37" s="1432">
        <f>O37</f>
        <v>268.19526627218931</v>
      </c>
      <c r="V37" s="1432">
        <f>O37</f>
        <v>268.19526627218931</v>
      </c>
      <c r="W37" s="1432"/>
      <c r="X37" s="1414"/>
      <c r="Z37" s="424">
        <f>SUM(P37:X37)</f>
        <v>1609.1715976331357</v>
      </c>
    </row>
    <row r="38" spans="1:26" x14ac:dyDescent="0.25">
      <c r="A38" s="1492" t="s">
        <v>311</v>
      </c>
      <c r="B38" s="1434" t="s">
        <v>350</v>
      </c>
      <c r="C38" s="1434">
        <v>6</v>
      </c>
      <c r="D38" s="1414">
        <v>1.25</v>
      </c>
      <c r="E38" s="1414">
        <v>6.43</v>
      </c>
      <c r="F38" s="1414">
        <v>280</v>
      </c>
      <c r="G38" s="1483">
        <f t="shared" si="12"/>
        <v>41.951558430802358</v>
      </c>
      <c r="H38" s="1432">
        <f t="shared" si="13"/>
        <v>269.74852071005915</v>
      </c>
      <c r="I38" s="1432">
        <f t="shared" si="14"/>
        <v>1618.4911242603548</v>
      </c>
      <c r="J38" s="1432">
        <v>130.25</v>
      </c>
      <c r="K38" s="1414">
        <f>'Greens Quantities '!I47</f>
        <v>13</v>
      </c>
      <c r="L38" s="1432">
        <f t="shared" si="15"/>
        <v>1693.25</v>
      </c>
      <c r="M38" s="1414">
        <v>169</v>
      </c>
      <c r="N38" s="1414" t="s">
        <v>112</v>
      </c>
      <c r="O38" s="1070">
        <f t="shared" si="16"/>
        <v>269.74852071005915</v>
      </c>
      <c r="P38" s="1414"/>
      <c r="Q38" s="1432">
        <f>O38</f>
        <v>269.74852071005915</v>
      </c>
      <c r="R38" s="1432">
        <f>O38</f>
        <v>269.74852071005915</v>
      </c>
      <c r="S38" s="1432">
        <f>O38</f>
        <v>269.74852071005915</v>
      </c>
      <c r="T38" s="1432">
        <f>O38</f>
        <v>269.74852071005915</v>
      </c>
      <c r="U38" s="1432">
        <f>O38</f>
        <v>269.74852071005915</v>
      </c>
      <c r="V38" s="1432">
        <f>O38</f>
        <v>269.74852071005915</v>
      </c>
      <c r="W38" s="1414"/>
      <c r="X38" s="1414"/>
      <c r="Z38" s="424">
        <f>SUM(P38:X38)</f>
        <v>1618.491124260355</v>
      </c>
    </row>
    <row r="39" spans="1:26" x14ac:dyDescent="0.25">
      <c r="A39" s="1492" t="s">
        <v>312</v>
      </c>
      <c r="B39" s="1434" t="s">
        <v>351</v>
      </c>
      <c r="C39" s="1434">
        <v>20</v>
      </c>
      <c r="D39" s="1414">
        <v>0.56999999999999995</v>
      </c>
      <c r="E39" s="1414">
        <v>6.43</v>
      </c>
      <c r="F39" s="1414">
        <v>280</v>
      </c>
      <c r="G39" s="1483">
        <f t="shared" si="12"/>
        <v>8.6874027993779155</v>
      </c>
      <c r="H39" s="1483">
        <f>D39*F39/128/M39*J39</f>
        <v>55.86</v>
      </c>
      <c r="I39" s="1432">
        <f t="shared" si="14"/>
        <v>1117.2</v>
      </c>
      <c r="J39" s="1432">
        <v>112</v>
      </c>
      <c r="K39" s="1414">
        <f>'Greens Quantities '!K48</f>
        <v>10</v>
      </c>
      <c r="L39" s="1432">
        <f t="shared" si="15"/>
        <v>1120</v>
      </c>
      <c r="M39" s="1414">
        <v>2.5</v>
      </c>
      <c r="N39" s="1414" t="s">
        <v>108</v>
      </c>
      <c r="O39" s="1070">
        <f t="shared" si="16"/>
        <v>55.86</v>
      </c>
      <c r="P39" s="1414"/>
      <c r="Q39" s="1432">
        <f>O39*2</f>
        <v>111.72</v>
      </c>
      <c r="R39" s="1432">
        <f t="shared" ref="R39:R44" si="17">O39*2</f>
        <v>111.72</v>
      </c>
      <c r="S39" s="1432">
        <f>O39*3</f>
        <v>167.57999999999998</v>
      </c>
      <c r="T39" s="1432">
        <f>O39*3</f>
        <v>167.57999999999998</v>
      </c>
      <c r="U39" s="1432">
        <f>O39*3</f>
        <v>167.57999999999998</v>
      </c>
      <c r="V39" s="1432">
        <f>O39*3</f>
        <v>167.57999999999998</v>
      </c>
      <c r="W39" s="1432">
        <f>O39*2</f>
        <v>111.72</v>
      </c>
      <c r="X39" s="1432">
        <f>O39*2</f>
        <v>111.72</v>
      </c>
      <c r="Z39" s="424">
        <f t="shared" ref="Z39:Z53" si="18">SUM(P39:X39)</f>
        <v>1117.1999999999998</v>
      </c>
    </row>
    <row r="40" spans="1:26" x14ac:dyDescent="0.25">
      <c r="A40" s="1492" t="s">
        <v>313</v>
      </c>
      <c r="B40" s="1434" t="s">
        <v>351</v>
      </c>
      <c r="C40" s="1434">
        <v>12</v>
      </c>
      <c r="D40" s="1414">
        <v>1.1399999999999999</v>
      </c>
      <c r="E40" s="1414">
        <v>6.43</v>
      </c>
      <c r="F40" s="1414">
        <v>280</v>
      </c>
      <c r="G40" s="1483">
        <f t="shared" si="12"/>
        <v>23.269828926905134</v>
      </c>
      <c r="H40" s="1483">
        <f>D40*F40/128/M40*J40</f>
        <v>149.625</v>
      </c>
      <c r="I40" s="1432">
        <f t="shared" si="14"/>
        <v>1795.5</v>
      </c>
      <c r="J40" s="1432">
        <v>150</v>
      </c>
      <c r="K40" s="1414">
        <f>'Greens Quantities '!I49</f>
        <v>12</v>
      </c>
      <c r="L40" s="1432">
        <f t="shared" si="15"/>
        <v>1800</v>
      </c>
      <c r="M40" s="1414">
        <v>2.5</v>
      </c>
      <c r="N40" s="1414" t="s">
        <v>108</v>
      </c>
      <c r="O40" s="1070">
        <f t="shared" si="16"/>
        <v>149.625</v>
      </c>
      <c r="P40" s="1414"/>
      <c r="Q40" s="1432">
        <f>O40</f>
        <v>149.625</v>
      </c>
      <c r="R40" s="1432">
        <f t="shared" si="17"/>
        <v>299.25</v>
      </c>
      <c r="S40" s="1432">
        <f>O40*2</f>
        <v>299.25</v>
      </c>
      <c r="T40" s="1432">
        <f>O40*2</f>
        <v>299.25</v>
      </c>
      <c r="U40" s="1432">
        <f>O40*2</f>
        <v>299.25</v>
      </c>
      <c r="V40" s="1432">
        <f>O40*2</f>
        <v>299.25</v>
      </c>
      <c r="W40" s="1432">
        <f>O40</f>
        <v>149.625</v>
      </c>
      <c r="X40" s="1414"/>
      <c r="Z40" s="424">
        <f t="shared" si="18"/>
        <v>1795.5</v>
      </c>
    </row>
    <row r="41" spans="1:26" x14ac:dyDescent="0.25">
      <c r="A41" s="1492" t="s">
        <v>314</v>
      </c>
      <c r="B41" s="1434" t="s">
        <v>351</v>
      </c>
      <c r="C41" s="1434">
        <v>12</v>
      </c>
      <c r="D41" s="1414">
        <v>1.1399999999999999</v>
      </c>
      <c r="E41" s="1414">
        <v>6.43</v>
      </c>
      <c r="F41" s="1414">
        <v>280</v>
      </c>
      <c r="G41" s="1483">
        <f t="shared" si="12"/>
        <v>17.142107309486782</v>
      </c>
      <c r="H41" s="1483">
        <f t="shared" ref="H41:H47" si="19">D41*F41/128/M41*J41</f>
        <v>110.22375</v>
      </c>
      <c r="I41" s="1432">
        <f t="shared" si="14"/>
        <v>1322.6849999999999</v>
      </c>
      <c r="J41" s="1432">
        <v>110.5</v>
      </c>
      <c r="K41" s="1414">
        <f>'Greens Quantities '!I50</f>
        <v>12</v>
      </c>
      <c r="L41" s="1432">
        <f t="shared" si="15"/>
        <v>1326</v>
      </c>
      <c r="M41" s="1414">
        <v>2.5</v>
      </c>
      <c r="N41" s="1414" t="s">
        <v>108</v>
      </c>
      <c r="O41" s="1070">
        <f t="shared" si="16"/>
        <v>110.22375</v>
      </c>
      <c r="P41" s="1414"/>
      <c r="Q41" s="1432">
        <f>O41</f>
        <v>110.22375</v>
      </c>
      <c r="R41" s="1432">
        <f t="shared" si="17"/>
        <v>220.44749999999999</v>
      </c>
      <c r="S41" s="1432">
        <f>O41*2</f>
        <v>220.44749999999999</v>
      </c>
      <c r="T41" s="1432">
        <f>O41*2</f>
        <v>220.44749999999999</v>
      </c>
      <c r="U41" s="1432">
        <f>O41*2</f>
        <v>220.44749999999999</v>
      </c>
      <c r="V41" s="1432">
        <f>O41*2</f>
        <v>220.44749999999999</v>
      </c>
      <c r="W41" s="1432">
        <f>O41</f>
        <v>110.22375</v>
      </c>
      <c r="X41" s="1414"/>
      <c r="Z41" s="424">
        <f t="shared" si="18"/>
        <v>1322.6849999999999</v>
      </c>
    </row>
    <row r="42" spans="1:26" x14ac:dyDescent="0.25">
      <c r="A42" s="1492" t="s">
        <v>315</v>
      </c>
      <c r="B42" s="1434" t="s">
        <v>351</v>
      </c>
      <c r="C42" s="1434">
        <v>12</v>
      </c>
      <c r="D42" s="1414">
        <v>1.1399999999999999</v>
      </c>
      <c r="E42" s="1414">
        <v>6.43</v>
      </c>
      <c r="F42" s="1414">
        <v>280</v>
      </c>
      <c r="G42" s="1483">
        <f t="shared" si="12"/>
        <v>23.657659409020216</v>
      </c>
      <c r="H42" s="1483">
        <f>D42*F42/128/M42*J42</f>
        <v>152.11874999999998</v>
      </c>
      <c r="I42" s="1432">
        <f t="shared" si="14"/>
        <v>1825.4249999999997</v>
      </c>
      <c r="J42" s="1432">
        <v>152.5</v>
      </c>
      <c r="K42" s="1414">
        <f>'Greens Quantities '!I51</f>
        <v>12</v>
      </c>
      <c r="L42" s="1432">
        <f t="shared" si="15"/>
        <v>1830</v>
      </c>
      <c r="M42" s="1414">
        <v>2.5</v>
      </c>
      <c r="N42" s="1414" t="s">
        <v>108</v>
      </c>
      <c r="O42" s="1070">
        <f t="shared" si="16"/>
        <v>152.11874999999998</v>
      </c>
      <c r="P42" s="1414"/>
      <c r="Q42" s="1432">
        <f>O42</f>
        <v>152.11874999999998</v>
      </c>
      <c r="R42" s="1432">
        <f t="shared" si="17"/>
        <v>304.23749999999995</v>
      </c>
      <c r="S42" s="1432">
        <f>O42*2</f>
        <v>304.23749999999995</v>
      </c>
      <c r="T42" s="1432">
        <f>O42*2</f>
        <v>304.23749999999995</v>
      </c>
      <c r="U42" s="1432">
        <f>O42*2</f>
        <v>304.23749999999995</v>
      </c>
      <c r="V42" s="1432">
        <f>O42*2</f>
        <v>304.23749999999995</v>
      </c>
      <c r="W42" s="1432">
        <f>O42</f>
        <v>152.11874999999998</v>
      </c>
      <c r="X42" s="1414"/>
      <c r="Z42" s="424">
        <f t="shared" si="18"/>
        <v>1825.4249999999997</v>
      </c>
    </row>
    <row r="43" spans="1:26" x14ac:dyDescent="0.25">
      <c r="A43" s="1492" t="s">
        <v>316</v>
      </c>
      <c r="B43" s="1434" t="s">
        <v>351</v>
      </c>
      <c r="C43" s="1434">
        <v>12</v>
      </c>
      <c r="D43" s="1414">
        <v>1.1399999999999999</v>
      </c>
      <c r="E43" s="1414">
        <v>6.43</v>
      </c>
      <c r="F43" s="1414">
        <v>280</v>
      </c>
      <c r="G43" s="1483">
        <f t="shared" si="12"/>
        <v>22.649300155520994</v>
      </c>
      <c r="H43" s="1483">
        <f t="shared" si="19"/>
        <v>145.63499999999999</v>
      </c>
      <c r="I43" s="1432">
        <f t="shared" si="14"/>
        <v>1747.62</v>
      </c>
      <c r="J43" s="1432">
        <v>146</v>
      </c>
      <c r="K43" s="1414">
        <f>'Greens Quantities '!I52</f>
        <v>12</v>
      </c>
      <c r="L43" s="1432">
        <f t="shared" si="15"/>
        <v>1752</v>
      </c>
      <c r="M43" s="1414">
        <v>2.5</v>
      </c>
      <c r="N43" s="1414" t="s">
        <v>108</v>
      </c>
      <c r="O43" s="1070">
        <f t="shared" si="16"/>
        <v>145.63499999999999</v>
      </c>
      <c r="P43" s="1414"/>
      <c r="Q43" s="1432">
        <f>O43</f>
        <v>145.63499999999999</v>
      </c>
      <c r="R43" s="1432">
        <f t="shared" si="17"/>
        <v>291.27</v>
      </c>
      <c r="S43" s="1432">
        <f>O43*2</f>
        <v>291.27</v>
      </c>
      <c r="T43" s="1432">
        <f>O43*2</f>
        <v>291.27</v>
      </c>
      <c r="U43" s="1432">
        <f>O43*2</f>
        <v>291.27</v>
      </c>
      <c r="V43" s="1432">
        <f>O43*2</f>
        <v>291.27</v>
      </c>
      <c r="W43" s="1432">
        <f>O43</f>
        <v>145.63499999999999</v>
      </c>
      <c r="X43" s="1414"/>
      <c r="Z43" s="424">
        <f t="shared" si="18"/>
        <v>1747.62</v>
      </c>
    </row>
    <row r="44" spans="1:26" x14ac:dyDescent="0.25">
      <c r="A44" s="1492" t="s">
        <v>317</v>
      </c>
      <c r="B44" s="1434" t="s">
        <v>351</v>
      </c>
      <c r="C44" s="1434">
        <v>15</v>
      </c>
      <c r="D44" s="1414">
        <v>0.47</v>
      </c>
      <c r="E44" s="1414">
        <v>6.43</v>
      </c>
      <c r="F44" s="1414">
        <v>280</v>
      </c>
      <c r="G44" s="1483">
        <f t="shared" si="12"/>
        <v>14.326594090202178</v>
      </c>
      <c r="H44" s="1483">
        <f t="shared" si="19"/>
        <v>92.12</v>
      </c>
      <c r="I44" s="1432">
        <f t="shared" si="14"/>
        <v>1381.8000000000002</v>
      </c>
      <c r="J44" s="1432">
        <v>224</v>
      </c>
      <c r="K44" s="1414">
        <f>'Greens Quantities '!I53</f>
        <v>7</v>
      </c>
      <c r="L44" s="1432">
        <f t="shared" si="15"/>
        <v>1568</v>
      </c>
      <c r="M44" s="1414">
        <v>2.5</v>
      </c>
      <c r="N44" s="1414" t="s">
        <v>108</v>
      </c>
      <c r="O44" s="1070">
        <f t="shared" si="16"/>
        <v>92.12</v>
      </c>
      <c r="P44" s="1414"/>
      <c r="Q44" s="1432">
        <f>O44*2</f>
        <v>184.24</v>
      </c>
      <c r="R44" s="1432">
        <f t="shared" si="17"/>
        <v>184.24</v>
      </c>
      <c r="S44" s="1432">
        <f>O44*2</f>
        <v>184.24</v>
      </c>
      <c r="T44" s="1432">
        <f>O44*2</f>
        <v>184.24</v>
      </c>
      <c r="U44" s="1432">
        <f>O44*2</f>
        <v>184.24</v>
      </c>
      <c r="V44" s="1432">
        <f>O44*3</f>
        <v>276.36</v>
      </c>
      <c r="W44" s="1432">
        <f>O44*2</f>
        <v>184.24</v>
      </c>
      <c r="X44" s="1414"/>
      <c r="Z44" s="424">
        <f t="shared" si="18"/>
        <v>1381.8</v>
      </c>
    </row>
    <row r="45" spans="1:26" x14ac:dyDescent="0.25">
      <c r="A45" s="1492" t="s">
        <v>318</v>
      </c>
      <c r="B45" s="1434" t="s">
        <v>351</v>
      </c>
      <c r="C45" s="1434">
        <v>7</v>
      </c>
      <c r="D45" s="1414">
        <v>1</v>
      </c>
      <c r="E45" s="1414">
        <v>6.43</v>
      </c>
      <c r="F45" s="1414">
        <v>280</v>
      </c>
      <c r="G45" s="1483">
        <f t="shared" si="12"/>
        <v>34.020217729393472</v>
      </c>
      <c r="H45" s="1483">
        <f t="shared" si="19"/>
        <v>218.75</v>
      </c>
      <c r="I45" s="1432">
        <f t="shared" si="14"/>
        <v>1531.25</v>
      </c>
      <c r="J45" s="1432">
        <v>250</v>
      </c>
      <c r="K45" s="1414">
        <f>'Greens Quantities '!I54</f>
        <v>7</v>
      </c>
      <c r="L45" s="1432">
        <f t="shared" si="15"/>
        <v>1750</v>
      </c>
      <c r="M45" s="1414">
        <v>2.5</v>
      </c>
      <c r="N45" s="1414" t="s">
        <v>108</v>
      </c>
      <c r="O45" s="1070">
        <f t="shared" si="16"/>
        <v>218.75</v>
      </c>
      <c r="P45" s="1414"/>
      <c r="Q45" s="1432">
        <f>O45</f>
        <v>218.75</v>
      </c>
      <c r="R45" s="1432">
        <f>O45</f>
        <v>218.75</v>
      </c>
      <c r="S45" s="1432">
        <f>O45</f>
        <v>218.75</v>
      </c>
      <c r="T45" s="1432">
        <f>O45</f>
        <v>218.75</v>
      </c>
      <c r="U45" s="1432">
        <f>O45</f>
        <v>218.75</v>
      </c>
      <c r="V45" s="1432">
        <f>O45</f>
        <v>218.75</v>
      </c>
      <c r="W45" s="1432">
        <f>O45</f>
        <v>218.75</v>
      </c>
      <c r="X45" s="1414"/>
      <c r="Z45" s="424">
        <f t="shared" si="18"/>
        <v>1531.25</v>
      </c>
    </row>
    <row r="46" spans="1:26" x14ac:dyDescent="0.25">
      <c r="A46" s="1492" t="s">
        <v>319</v>
      </c>
      <c r="B46" s="1434" t="s">
        <v>351</v>
      </c>
      <c r="C46" s="1434">
        <v>5</v>
      </c>
      <c r="D46" s="1414">
        <v>1.89</v>
      </c>
      <c r="E46" s="1414">
        <v>6.43</v>
      </c>
      <c r="F46" s="1414">
        <v>280</v>
      </c>
      <c r="G46" s="1483">
        <f t="shared" si="12"/>
        <v>35.878402021772935</v>
      </c>
      <c r="H46" s="1483">
        <f t="shared" si="19"/>
        <v>230.69812499999998</v>
      </c>
      <c r="I46" s="1432">
        <f t="shared" si="14"/>
        <v>1153.4906249999999</v>
      </c>
      <c r="J46" s="1432">
        <v>139.5</v>
      </c>
      <c r="K46" s="1414">
        <f>'Greens Quantities '!I55</f>
        <v>9</v>
      </c>
      <c r="L46" s="1432">
        <f t="shared" si="15"/>
        <v>1255.5</v>
      </c>
      <c r="M46" s="1414">
        <v>2.5</v>
      </c>
      <c r="N46" s="1414" t="s">
        <v>108</v>
      </c>
      <c r="O46" s="1070">
        <f t="shared" si="16"/>
        <v>230.69812499999998</v>
      </c>
      <c r="P46" s="1414"/>
      <c r="Q46" s="1414"/>
      <c r="R46" s="1432">
        <f>O46</f>
        <v>230.69812499999998</v>
      </c>
      <c r="S46" s="1432">
        <f>O46</f>
        <v>230.69812499999998</v>
      </c>
      <c r="T46" s="1432">
        <f>O46</f>
        <v>230.69812499999998</v>
      </c>
      <c r="U46" s="1432">
        <f>O46</f>
        <v>230.69812499999998</v>
      </c>
      <c r="V46" s="1432">
        <f>O46</f>
        <v>230.69812499999998</v>
      </c>
      <c r="W46" s="1414"/>
      <c r="X46" s="1414"/>
      <c r="Z46" s="424">
        <f t="shared" si="18"/>
        <v>1153.4906249999999</v>
      </c>
    </row>
    <row r="47" spans="1:26" x14ac:dyDescent="0.25">
      <c r="A47" s="1492" t="s">
        <v>320</v>
      </c>
      <c r="B47" s="1434" t="s">
        <v>351</v>
      </c>
      <c r="C47" s="1434">
        <v>5</v>
      </c>
      <c r="D47" s="1414">
        <v>1.89</v>
      </c>
      <c r="E47" s="1414">
        <v>6.43</v>
      </c>
      <c r="F47" s="1414">
        <v>280</v>
      </c>
      <c r="G47" s="1483">
        <f t="shared" si="12"/>
        <v>27.776827371695177</v>
      </c>
      <c r="H47" s="1483">
        <f t="shared" si="19"/>
        <v>178.60499999999999</v>
      </c>
      <c r="I47" s="1432">
        <f t="shared" si="14"/>
        <v>893.02499999999998</v>
      </c>
      <c r="J47" s="1432">
        <v>108</v>
      </c>
      <c r="K47" s="1414">
        <f>'Greens Quantities '!I56</f>
        <v>9</v>
      </c>
      <c r="L47" s="1432">
        <f t="shared" si="15"/>
        <v>972</v>
      </c>
      <c r="M47" s="1414">
        <v>2.5</v>
      </c>
      <c r="N47" s="1414" t="s">
        <v>108</v>
      </c>
      <c r="O47" s="1070">
        <f t="shared" si="16"/>
        <v>178.60499999999999</v>
      </c>
      <c r="P47" s="1414"/>
      <c r="Q47" s="1414"/>
      <c r="R47" s="1432">
        <f>O47</f>
        <v>178.60499999999999</v>
      </c>
      <c r="S47" s="1432">
        <f>O47</f>
        <v>178.60499999999999</v>
      </c>
      <c r="T47" s="1432">
        <f>O47</f>
        <v>178.60499999999999</v>
      </c>
      <c r="U47" s="1432">
        <f>O47</f>
        <v>178.60499999999999</v>
      </c>
      <c r="V47" s="1432">
        <f>O47</f>
        <v>178.60499999999999</v>
      </c>
      <c r="W47" s="1414"/>
      <c r="X47" s="1414"/>
      <c r="Z47" s="424">
        <f t="shared" si="18"/>
        <v>893.02499999999998</v>
      </c>
    </row>
    <row r="48" spans="1:26" x14ac:dyDescent="0.25">
      <c r="A48" s="1492" t="s">
        <v>321</v>
      </c>
      <c r="B48" s="1434" t="s">
        <v>351</v>
      </c>
      <c r="C48" s="1434">
        <v>12</v>
      </c>
      <c r="D48" s="1414">
        <v>1.1399999999999999</v>
      </c>
      <c r="E48" s="1414">
        <v>6.43</v>
      </c>
      <c r="F48" s="1414">
        <v>280</v>
      </c>
      <c r="G48" s="1483">
        <f t="shared" si="12"/>
        <v>21.95120528771384</v>
      </c>
      <c r="H48" s="1483">
        <f>D48*F48/128/M48*J48</f>
        <v>141.14624999999998</v>
      </c>
      <c r="I48" s="1432">
        <f t="shared" si="14"/>
        <v>1693.7549999999997</v>
      </c>
      <c r="J48" s="1432">
        <v>141.5</v>
      </c>
      <c r="K48" s="1414">
        <f>'Greens Quantities '!I57</f>
        <v>12</v>
      </c>
      <c r="L48" s="1432">
        <f t="shared" si="15"/>
        <v>1698</v>
      </c>
      <c r="M48" s="1414">
        <v>2.5</v>
      </c>
      <c r="N48" s="1414" t="s">
        <v>108</v>
      </c>
      <c r="O48" s="1070">
        <f t="shared" si="16"/>
        <v>141.14624999999998</v>
      </c>
      <c r="P48" s="1414"/>
      <c r="Q48" s="1432">
        <f>O48</f>
        <v>141.14624999999998</v>
      </c>
      <c r="R48" s="1432">
        <f>O48*2</f>
        <v>282.29249999999996</v>
      </c>
      <c r="S48" s="1432">
        <f>O48*2</f>
        <v>282.29249999999996</v>
      </c>
      <c r="T48" s="1432">
        <f>O48*2</f>
        <v>282.29249999999996</v>
      </c>
      <c r="U48" s="1432">
        <f>O48*2</f>
        <v>282.29249999999996</v>
      </c>
      <c r="V48" s="1432">
        <f>O48*2</f>
        <v>282.29249999999996</v>
      </c>
      <c r="W48" s="1432">
        <f t="shared" ref="W48:W53" si="20">O48</f>
        <v>141.14624999999998</v>
      </c>
      <c r="X48" s="1414"/>
      <c r="Z48" s="424">
        <f t="shared" si="18"/>
        <v>1693.7549999999999</v>
      </c>
    </row>
    <row r="49" spans="1:26" x14ac:dyDescent="0.25">
      <c r="A49" s="1492" t="s">
        <v>322</v>
      </c>
      <c r="B49" s="1434" t="s">
        <v>351</v>
      </c>
      <c r="C49" s="1434">
        <v>11</v>
      </c>
      <c r="D49" s="1414">
        <v>10.6</v>
      </c>
      <c r="E49" s="1414">
        <v>6.43</v>
      </c>
      <c r="F49" s="1414">
        <v>280</v>
      </c>
      <c r="G49" s="1483">
        <f t="shared" si="12"/>
        <v>49.868181818181817</v>
      </c>
      <c r="H49" s="1483">
        <f>D49*E49/M49*J49</f>
        <v>320.65240909090909</v>
      </c>
      <c r="I49" s="1432">
        <f t="shared" si="14"/>
        <v>3527.1765</v>
      </c>
      <c r="J49" s="1432">
        <v>207</v>
      </c>
      <c r="K49" s="1414">
        <f>'Greens Quantities '!I58</f>
        <v>17</v>
      </c>
      <c r="L49" s="1432">
        <f t="shared" si="15"/>
        <v>3519</v>
      </c>
      <c r="M49" s="1414">
        <v>44</v>
      </c>
      <c r="N49" s="1414" t="s">
        <v>121</v>
      </c>
      <c r="O49" s="1070">
        <f t="shared" si="16"/>
        <v>320.65240909090909</v>
      </c>
      <c r="P49" s="1414"/>
      <c r="Q49" s="1414"/>
      <c r="R49" s="1432">
        <f>O49*2</f>
        <v>641.30481818181818</v>
      </c>
      <c r="S49" s="1432">
        <f>O49*2</f>
        <v>641.30481818181818</v>
      </c>
      <c r="T49" s="1432">
        <f>O49*2</f>
        <v>641.30481818181818</v>
      </c>
      <c r="U49" s="1432">
        <f>O49*2</f>
        <v>641.30481818181818</v>
      </c>
      <c r="V49" s="1432">
        <f>O49*2</f>
        <v>641.30481818181818</v>
      </c>
      <c r="W49" s="1432">
        <f t="shared" si="20"/>
        <v>320.65240909090909</v>
      </c>
      <c r="X49" s="1414"/>
      <c r="Z49" s="424">
        <f t="shared" si="18"/>
        <v>3527.1765</v>
      </c>
    </row>
    <row r="50" spans="1:26" x14ac:dyDescent="0.25">
      <c r="A50" s="1492" t="s">
        <v>323</v>
      </c>
      <c r="B50" s="1434" t="s">
        <v>351</v>
      </c>
      <c r="C50" s="1434">
        <v>13</v>
      </c>
      <c r="D50" s="1414">
        <v>4.8</v>
      </c>
      <c r="E50" s="1414">
        <v>6.43</v>
      </c>
      <c r="F50" s="1414">
        <v>280</v>
      </c>
      <c r="G50" s="1483">
        <f t="shared" si="12"/>
        <v>16.799999999999997</v>
      </c>
      <c r="H50" s="1483">
        <f t="shared" ref="H50" si="21">D50*E50/M50*J50</f>
        <v>108.02399999999999</v>
      </c>
      <c r="I50" s="1432">
        <f t="shared" si="14"/>
        <v>1404.3119999999999</v>
      </c>
      <c r="J50" s="1432">
        <v>52.5</v>
      </c>
      <c r="K50" s="1414">
        <f>'Greens Quantities '!I59</f>
        <v>27</v>
      </c>
      <c r="L50" s="1432">
        <f t="shared" si="15"/>
        <v>1417.5</v>
      </c>
      <c r="M50" s="1414">
        <v>15</v>
      </c>
      <c r="N50" s="1414" t="s">
        <v>121</v>
      </c>
      <c r="O50" s="1070">
        <f t="shared" si="16"/>
        <v>108.02399999999999</v>
      </c>
      <c r="P50" s="1414"/>
      <c r="Q50" s="1432">
        <f>O50</f>
        <v>108.02399999999999</v>
      </c>
      <c r="R50" s="1432">
        <f>O50*2</f>
        <v>216.04799999999997</v>
      </c>
      <c r="S50" s="1432">
        <f>O50*2</f>
        <v>216.04799999999997</v>
      </c>
      <c r="T50" s="1432">
        <f>O50*2</f>
        <v>216.04799999999997</v>
      </c>
      <c r="U50" s="1432">
        <f>O50*2</f>
        <v>216.04799999999997</v>
      </c>
      <c r="V50" s="1432">
        <f>O50*2</f>
        <v>216.04799999999997</v>
      </c>
      <c r="W50" s="1432">
        <f t="shared" si="20"/>
        <v>108.02399999999999</v>
      </c>
      <c r="X50" s="1432">
        <f>O50</f>
        <v>108.02399999999999</v>
      </c>
      <c r="Z50" s="424">
        <f t="shared" si="18"/>
        <v>1404.3119999999997</v>
      </c>
    </row>
    <row r="51" spans="1:26" x14ac:dyDescent="0.25">
      <c r="A51" s="1492" t="s">
        <v>324</v>
      </c>
      <c r="B51" s="1434" t="s">
        <v>351</v>
      </c>
      <c r="C51" s="1434">
        <v>8</v>
      </c>
      <c r="D51" s="1414">
        <v>3.88</v>
      </c>
      <c r="E51" s="1414">
        <v>6.43</v>
      </c>
      <c r="F51" s="1414">
        <v>280</v>
      </c>
      <c r="G51" s="1483">
        <f t="shared" si="12"/>
        <v>17.925599999999999</v>
      </c>
      <c r="H51" s="1483">
        <f>D51*E51/M51*J51</f>
        <v>115.261608</v>
      </c>
      <c r="I51" s="1432">
        <f t="shared" si="14"/>
        <v>922.09286399999996</v>
      </c>
      <c r="J51" s="1432">
        <v>115.5</v>
      </c>
      <c r="K51" s="1414">
        <f>'Greens Quantities '!I60</f>
        <v>8</v>
      </c>
      <c r="L51" s="1432">
        <f t="shared" si="15"/>
        <v>924</v>
      </c>
      <c r="M51" s="1414">
        <v>25</v>
      </c>
      <c r="N51" s="1414" t="s">
        <v>121</v>
      </c>
      <c r="O51" s="1070">
        <f t="shared" si="16"/>
        <v>115.261608</v>
      </c>
      <c r="P51" s="1414"/>
      <c r="Q51" s="1432">
        <f>O51</f>
        <v>115.261608</v>
      </c>
      <c r="R51" s="1432">
        <f>O51</f>
        <v>115.261608</v>
      </c>
      <c r="S51" s="1432">
        <f>O51</f>
        <v>115.261608</v>
      </c>
      <c r="T51" s="1432">
        <f>O51</f>
        <v>115.261608</v>
      </c>
      <c r="U51" s="1432">
        <f>O51</f>
        <v>115.261608</v>
      </c>
      <c r="V51" s="1432">
        <f>O51</f>
        <v>115.261608</v>
      </c>
      <c r="W51" s="1432">
        <f t="shared" si="20"/>
        <v>115.261608</v>
      </c>
      <c r="X51" s="1432">
        <f>O51</f>
        <v>115.261608</v>
      </c>
      <c r="Z51" s="424">
        <f t="shared" si="18"/>
        <v>922.09286400000008</v>
      </c>
    </row>
    <row r="52" spans="1:26" x14ac:dyDescent="0.25">
      <c r="A52" s="1494" t="s">
        <v>325</v>
      </c>
      <c r="B52" s="1434" t="s">
        <v>351</v>
      </c>
      <c r="C52" s="1434">
        <v>13</v>
      </c>
      <c r="D52" s="1414">
        <v>0.19</v>
      </c>
      <c r="E52" s="1414">
        <v>6.43</v>
      </c>
      <c r="F52" s="1414">
        <v>280</v>
      </c>
      <c r="G52" s="1483">
        <f t="shared" si="12"/>
        <v>26.501749611197514</v>
      </c>
      <c r="H52" s="1432">
        <f>D52*F52/16/M52*J52</f>
        <v>170.40625</v>
      </c>
      <c r="I52" s="1432">
        <f t="shared" si="14"/>
        <v>2215.28125</v>
      </c>
      <c r="J52" s="1432">
        <v>82</v>
      </c>
      <c r="K52" s="1414">
        <f>'Greens Quantities '!I61</f>
        <v>28</v>
      </c>
      <c r="L52" s="1432">
        <f t="shared" si="15"/>
        <v>2296</v>
      </c>
      <c r="M52" s="1414">
        <v>1.6</v>
      </c>
      <c r="N52" s="1414" t="s">
        <v>121</v>
      </c>
      <c r="O52" s="1070">
        <f t="shared" si="16"/>
        <v>170.40625</v>
      </c>
      <c r="P52" s="1414"/>
      <c r="Q52" s="1432">
        <f>O52</f>
        <v>170.40625</v>
      </c>
      <c r="R52" s="1432">
        <f>O52*2</f>
        <v>340.8125</v>
      </c>
      <c r="S52" s="1432">
        <f>O52*2</f>
        <v>340.8125</v>
      </c>
      <c r="T52" s="1432">
        <f>O52*2</f>
        <v>340.8125</v>
      </c>
      <c r="U52" s="1432">
        <f>O52*2</f>
        <v>340.8125</v>
      </c>
      <c r="V52" s="1432">
        <f>O52*2</f>
        <v>340.8125</v>
      </c>
      <c r="W52" s="1432">
        <f t="shared" si="20"/>
        <v>170.40625</v>
      </c>
      <c r="X52" s="1432">
        <f>O52</f>
        <v>170.40625</v>
      </c>
      <c r="Z52" s="424">
        <f t="shared" si="18"/>
        <v>2215.28125</v>
      </c>
    </row>
    <row r="53" spans="1:26" x14ac:dyDescent="0.25">
      <c r="A53" s="1435" t="s">
        <v>326</v>
      </c>
      <c r="B53" s="1495" t="s">
        <v>351</v>
      </c>
      <c r="C53" s="1495">
        <v>6</v>
      </c>
      <c r="D53" s="1493">
        <v>0.43</v>
      </c>
      <c r="E53" s="1493">
        <v>6.43</v>
      </c>
      <c r="F53" s="1493">
        <v>280</v>
      </c>
      <c r="G53" s="1496">
        <f t="shared" si="12"/>
        <v>33.158372213582169</v>
      </c>
      <c r="H53" s="1497">
        <f>D53*F53/16/M53*J53</f>
        <v>213.20833333333331</v>
      </c>
      <c r="I53" s="1497">
        <f>H53*C53</f>
        <v>1279.25</v>
      </c>
      <c r="J53" s="1497">
        <v>102</v>
      </c>
      <c r="K53" s="1493">
        <f>'Greens Quantities '!I62</f>
        <v>13</v>
      </c>
      <c r="L53" s="1497">
        <f>J53*K53</f>
        <v>1326</v>
      </c>
      <c r="M53" s="1493">
        <v>3.6</v>
      </c>
      <c r="N53" s="1493" t="s">
        <v>121</v>
      </c>
      <c r="O53" s="1429">
        <f>H53</f>
        <v>213.20833333333331</v>
      </c>
      <c r="P53" s="1493"/>
      <c r="Q53" s="1493"/>
      <c r="R53" s="1497">
        <f>O53</f>
        <v>213.20833333333331</v>
      </c>
      <c r="S53" s="1497">
        <f>O53</f>
        <v>213.20833333333331</v>
      </c>
      <c r="T53" s="1497">
        <f>O53</f>
        <v>213.20833333333331</v>
      </c>
      <c r="U53" s="1497">
        <f>O53</f>
        <v>213.20833333333331</v>
      </c>
      <c r="V53" s="1497">
        <f>O53</f>
        <v>213.20833333333331</v>
      </c>
      <c r="W53" s="1497">
        <f t="shared" si="20"/>
        <v>213.20833333333331</v>
      </c>
      <c r="X53" s="1493"/>
      <c r="Z53" s="424">
        <f t="shared" si="18"/>
        <v>1279.2499999999998</v>
      </c>
    </row>
    <row r="54" spans="1:26" x14ac:dyDescent="0.25">
      <c r="A54" s="1499" t="s">
        <v>327</v>
      </c>
      <c r="B54" s="1414" t="s">
        <v>177</v>
      </c>
      <c r="C54" s="1414">
        <v>6</v>
      </c>
      <c r="D54" s="1414">
        <v>2.2000000000000002</v>
      </c>
      <c r="E54" s="1414">
        <v>6.43</v>
      </c>
      <c r="F54" s="1414">
        <v>280</v>
      </c>
      <c r="G54" s="1483">
        <f>H54/E54</f>
        <v>90.979782270606535</v>
      </c>
      <c r="H54" s="1432">
        <v>585</v>
      </c>
      <c r="I54" s="1432">
        <f>H54*C54</f>
        <v>3510</v>
      </c>
      <c r="J54" s="1432">
        <v>585</v>
      </c>
      <c r="K54" s="1414">
        <v>6</v>
      </c>
      <c r="L54" s="1432">
        <f>J54*K54</f>
        <v>3510</v>
      </c>
      <c r="M54" s="1414">
        <v>5</v>
      </c>
      <c r="N54" s="1498" t="s">
        <v>108</v>
      </c>
      <c r="O54" s="1070">
        <f>H54</f>
        <v>585</v>
      </c>
      <c r="P54" s="1414"/>
      <c r="Q54" s="1432">
        <f>O54</f>
        <v>585</v>
      </c>
      <c r="R54" s="1432">
        <f>O54</f>
        <v>585</v>
      </c>
      <c r="S54" s="1432">
        <f>O54</f>
        <v>585</v>
      </c>
      <c r="T54" s="1432">
        <f>O54</f>
        <v>585</v>
      </c>
      <c r="U54" s="1432">
        <f>O54</f>
        <v>585</v>
      </c>
      <c r="V54" s="1432">
        <f>O54</f>
        <v>585</v>
      </c>
      <c r="W54" s="1414"/>
      <c r="X54" s="1414"/>
      <c r="Z54">
        <f>SUM(P54:X54)</f>
        <v>3510</v>
      </c>
    </row>
    <row r="55" spans="1:26" x14ac:dyDescent="0.25">
      <c r="P55" s="397">
        <f>SUM(P3:P34)</f>
        <v>367.5</v>
      </c>
      <c r="Q55" s="397">
        <f t="shared" ref="Q55:V55" si="22">SUM(Q3:Q54)</f>
        <v>7102.1462988021813</v>
      </c>
      <c r="R55" s="397">
        <f t="shared" si="22"/>
        <v>18340.288355266453</v>
      </c>
      <c r="S55" s="397">
        <f t="shared" si="22"/>
        <v>25909.291494851783</v>
      </c>
      <c r="T55" s="746">
        <f t="shared" si="22"/>
        <v>25583.60606676972</v>
      </c>
      <c r="U55" s="746">
        <f t="shared" si="22"/>
        <v>33496.536967394037</v>
      </c>
      <c r="V55" s="746">
        <f t="shared" si="22"/>
        <v>30142.767927342022</v>
      </c>
      <c r="W55" s="397">
        <f>SUM(W3:W53)</f>
        <v>14242.079507399731</v>
      </c>
      <c r="X55" s="746">
        <f>SUM(X3:X53)</f>
        <v>7601.1566077921871</v>
      </c>
    </row>
    <row r="57" spans="1:26" x14ac:dyDescent="0.25">
      <c r="Q57" s="610" t="s">
        <v>352</v>
      </c>
      <c r="R57" s="821">
        <f>SUM(P55:X55)</f>
        <v>162785.37322561812</v>
      </c>
    </row>
    <row r="59" spans="1:26" ht="23.25" x14ac:dyDescent="0.35">
      <c r="A59" s="1468" t="s">
        <v>353</v>
      </c>
      <c r="B59" s="1469"/>
      <c r="C59" s="1469"/>
      <c r="D59" s="1469"/>
      <c r="E59" s="1469"/>
      <c r="F59" s="1469"/>
      <c r="G59" s="1469"/>
      <c r="H59" s="1469"/>
      <c r="I59" s="1469"/>
      <c r="J59" s="1470"/>
    </row>
    <row r="60" spans="1:26" x14ac:dyDescent="0.25">
      <c r="A60" s="369"/>
      <c r="B60" s="736" t="s">
        <v>333</v>
      </c>
      <c r="C60" s="736" t="s">
        <v>334</v>
      </c>
      <c r="D60" s="811" t="s">
        <v>335</v>
      </c>
      <c r="E60" s="811" t="s">
        <v>157</v>
      </c>
      <c r="F60" s="811" t="s">
        <v>336</v>
      </c>
      <c r="G60" s="811" t="s">
        <v>337</v>
      </c>
      <c r="H60" s="811" t="s">
        <v>338</v>
      </c>
      <c r="I60" s="811" t="s">
        <v>339</v>
      </c>
      <c r="J60" s="812" t="s">
        <v>340</v>
      </c>
      <c r="K60" s="813" t="s">
        <v>354</v>
      </c>
    </row>
    <row r="61" spans="1:26" x14ac:dyDescent="0.25">
      <c r="A61" s="814" t="s">
        <v>355</v>
      </c>
      <c r="B61" s="815">
        <f t="shared" ref="B61:J61" si="23">SUM(P3:P22)</f>
        <v>367.5</v>
      </c>
      <c r="C61" s="815">
        <f t="shared" si="23"/>
        <v>3412.4999999999995</v>
      </c>
      <c r="D61" s="815">
        <f t="shared" si="23"/>
        <v>5974.2134540616244</v>
      </c>
      <c r="E61" s="815">
        <f t="shared" si="23"/>
        <v>11821.852261904764</v>
      </c>
      <c r="F61" s="815">
        <f t="shared" si="23"/>
        <v>12464.594787394959</v>
      </c>
      <c r="G61" s="815">
        <f t="shared" si="23"/>
        <v>21166.918208333336</v>
      </c>
      <c r="H61" s="815">
        <f t="shared" si="23"/>
        <v>16770.495261904762</v>
      </c>
      <c r="I61" s="815">
        <f t="shared" si="23"/>
        <v>9139.7073055555556</v>
      </c>
      <c r="J61" s="1190">
        <f t="shared" si="23"/>
        <v>6525.3649999999998</v>
      </c>
      <c r="K61" s="397">
        <f>SUM(B61:J61)</f>
        <v>87643.146279155</v>
      </c>
    </row>
    <row r="62" spans="1:26" x14ac:dyDescent="0.25">
      <c r="A62" s="784" t="s">
        <v>356</v>
      </c>
      <c r="B62" s="816">
        <f t="shared" ref="B62:J62" si="24">SUM(P23:P29)</f>
        <v>0</v>
      </c>
      <c r="C62" s="816">
        <f t="shared" si="24"/>
        <v>0</v>
      </c>
      <c r="D62" s="816">
        <f t="shared" si="24"/>
        <v>5958.1848612000003</v>
      </c>
      <c r="E62" s="816">
        <f t="shared" si="24"/>
        <v>5310.0418096250005</v>
      </c>
      <c r="F62" s="816">
        <f t="shared" si="24"/>
        <v>2635.874896625</v>
      </c>
      <c r="G62" s="816">
        <f t="shared" si="24"/>
        <v>2281.8955600625004</v>
      </c>
      <c r="H62" s="816">
        <f t="shared" si="24"/>
        <v>3274.2647473749998</v>
      </c>
      <c r="I62" s="816">
        <f t="shared" si="24"/>
        <v>0</v>
      </c>
      <c r="J62" s="1191">
        <f t="shared" si="24"/>
        <v>0</v>
      </c>
      <c r="K62" s="397">
        <f t="shared" ref="K62:K65" si="25">SUM(C62:J62)</f>
        <v>19460.261874887503</v>
      </c>
    </row>
    <row r="63" spans="1:26" x14ac:dyDescent="0.25">
      <c r="A63" s="817" t="s">
        <v>192</v>
      </c>
      <c r="B63" s="818">
        <f t="shared" ref="B63:J63" si="26">SUM(P30:P31)</f>
        <v>0</v>
      </c>
      <c r="C63" s="818">
        <f t="shared" si="26"/>
        <v>0</v>
      </c>
      <c r="D63" s="818">
        <f t="shared" si="26"/>
        <v>0</v>
      </c>
      <c r="E63" s="818">
        <f t="shared" si="26"/>
        <v>165.78421277343747</v>
      </c>
      <c r="F63" s="818">
        <f t="shared" si="26"/>
        <v>663.1368510937499</v>
      </c>
      <c r="G63" s="818">
        <f t="shared" si="26"/>
        <v>828.9210638671874</v>
      </c>
      <c r="H63" s="1188">
        <f t="shared" si="26"/>
        <v>663.1368510937499</v>
      </c>
      <c r="I63" s="818">
        <f t="shared" si="26"/>
        <v>663.1368510937499</v>
      </c>
      <c r="J63" s="1192">
        <f t="shared" si="26"/>
        <v>165.78421277343747</v>
      </c>
      <c r="K63" s="397">
        <f t="shared" si="25"/>
        <v>3149.9000426953121</v>
      </c>
    </row>
    <row r="64" spans="1:26" x14ac:dyDescent="0.25">
      <c r="A64" s="1486" t="s">
        <v>131</v>
      </c>
      <c r="B64" s="820">
        <f t="shared" ref="B64:J64" si="27">SUM(P32:P33)</f>
        <v>0</v>
      </c>
      <c r="C64" s="820">
        <f t="shared" si="27"/>
        <v>176.18148961874999</v>
      </c>
      <c r="D64" s="820">
        <f t="shared" si="27"/>
        <v>653.42995430625001</v>
      </c>
      <c r="E64" s="820">
        <f t="shared" si="27"/>
        <v>1659.22288785</v>
      </c>
      <c r="F64" s="820">
        <f t="shared" si="27"/>
        <v>2312.6528421562502</v>
      </c>
      <c r="G64" s="820">
        <f t="shared" si="27"/>
        <v>1483.0413982312502</v>
      </c>
      <c r="H64" s="1189">
        <f t="shared" si="27"/>
        <v>1835.4043774687502</v>
      </c>
      <c r="I64" s="820">
        <f t="shared" si="27"/>
        <v>829.611443925</v>
      </c>
      <c r="J64" s="1193">
        <f t="shared" si="27"/>
        <v>176.18148961874999</v>
      </c>
      <c r="K64" s="397">
        <f t="shared" si="25"/>
        <v>9125.7258831750005</v>
      </c>
    </row>
    <row r="65" spans="1:11" x14ac:dyDescent="0.25">
      <c r="A65" s="1485" t="s">
        <v>357</v>
      </c>
      <c r="B65" s="1487">
        <f t="shared" ref="B65:J65" si="28">SUM(P34:P34)</f>
        <v>0</v>
      </c>
      <c r="C65" s="1487">
        <f t="shared" si="28"/>
        <v>0</v>
      </c>
      <c r="D65" s="1487">
        <f t="shared" si="28"/>
        <v>0</v>
      </c>
      <c r="E65" s="1488">
        <f t="shared" si="28"/>
        <v>1142.0702370000001</v>
      </c>
      <c r="F65" s="1487">
        <f t="shared" si="28"/>
        <v>913.65618960000006</v>
      </c>
      <c r="G65" s="1487">
        <f t="shared" si="28"/>
        <v>1142.0702370000001</v>
      </c>
      <c r="H65" s="1488">
        <f t="shared" si="28"/>
        <v>913.65618960000006</v>
      </c>
      <c r="I65" s="1487">
        <f t="shared" si="28"/>
        <v>685.24214219999999</v>
      </c>
      <c r="J65" s="1489">
        <f t="shared" si="28"/>
        <v>228.41404740000002</v>
      </c>
      <c r="K65" s="397">
        <f t="shared" si="25"/>
        <v>5025.1090427999998</v>
      </c>
    </row>
    <row r="66" spans="1:11" x14ac:dyDescent="0.25">
      <c r="A66" s="1484" t="s">
        <v>358</v>
      </c>
      <c r="B66" s="1490"/>
      <c r="C66" s="1437">
        <f t="shared" ref="C66:H66" si="29">SUM(Q35:Q54)</f>
        <v>3513.4648091834315</v>
      </c>
      <c r="D66" s="1437">
        <f t="shared" si="29"/>
        <v>5754.4600856985826</v>
      </c>
      <c r="E66" s="1437">
        <f t="shared" si="29"/>
        <v>5810.3200856985832</v>
      </c>
      <c r="F66" s="1437">
        <f t="shared" si="29"/>
        <v>6593.6904998997652</v>
      </c>
      <c r="G66" s="1437">
        <f t="shared" si="29"/>
        <v>6593.6904998997652</v>
      </c>
      <c r="H66" s="1437">
        <f t="shared" si="29"/>
        <v>6685.8104998997651</v>
      </c>
      <c r="I66" s="1437">
        <f>SUM(W35:W53)</f>
        <v>2924.3817646254256</v>
      </c>
      <c r="J66" s="1438">
        <f>SUM(X35:X53)</f>
        <v>505.41185799999994</v>
      </c>
      <c r="K66" s="424">
        <f>SUM(B66:J66)</f>
        <v>38381.230102905312</v>
      </c>
    </row>
    <row r="67" spans="1:11" x14ac:dyDescent="0.25">
      <c r="A67" s="813" t="s">
        <v>354</v>
      </c>
      <c r="B67" s="397">
        <f t="shared" ref="B67:K67" si="30">SUM(B61:B66)</f>
        <v>367.5</v>
      </c>
      <c r="C67" s="397">
        <f t="shared" si="30"/>
        <v>7102.1462988021813</v>
      </c>
      <c r="D67" s="397">
        <f t="shared" si="30"/>
        <v>18340.288355266457</v>
      </c>
      <c r="E67" s="397">
        <f t="shared" si="30"/>
        <v>25909.291494851783</v>
      </c>
      <c r="F67" s="397">
        <f t="shared" si="30"/>
        <v>25583.606066769724</v>
      </c>
      <c r="G67" s="397">
        <f t="shared" si="30"/>
        <v>33496.536967394037</v>
      </c>
      <c r="H67" s="397">
        <f t="shared" si="30"/>
        <v>30142.767927342025</v>
      </c>
      <c r="I67" s="397">
        <f t="shared" si="30"/>
        <v>14242.079507399732</v>
      </c>
      <c r="J67" s="746">
        <f t="shared" si="30"/>
        <v>7601.1566077921871</v>
      </c>
      <c r="K67" s="417">
        <f t="shared" si="30"/>
        <v>162785.37322561812</v>
      </c>
    </row>
  </sheetData>
  <mergeCells count="2">
    <mergeCell ref="B1:N1"/>
    <mergeCell ref="Q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Fwy &amp; Tee Schedule  </vt:lpstr>
      <vt:lpstr>Fwy &amp; Tee Quantities </vt:lpstr>
      <vt:lpstr>Fairway, Tee Breakdown</vt:lpstr>
      <vt:lpstr>Range Schedule</vt:lpstr>
      <vt:lpstr>Range Quantities</vt:lpstr>
      <vt:lpstr>Range Breakdown</vt:lpstr>
      <vt:lpstr>Greens Spray Schedule </vt:lpstr>
      <vt:lpstr>Greens Quantities </vt:lpstr>
      <vt:lpstr>Greens Breakdown</vt:lpstr>
      <vt:lpstr>Rough Spray Schedule</vt:lpstr>
      <vt:lpstr>Rough Quantities</vt:lpstr>
      <vt:lpstr>Rough Breakdown</vt:lpstr>
      <vt:lpstr>Granular Fertilizer</vt:lpstr>
      <vt:lpstr>Granular Fertilizer Breakdown</vt:lpstr>
      <vt:lpstr>Total Order Sheet</vt:lpstr>
      <vt:lpstr>Total Monthly Breakdown</vt:lpstr>
      <vt:lpstr>Vendors</vt:lpstr>
      <vt:lpstr>Delayed Product Dates</vt:lpstr>
      <vt:lpstr>Vendors!Print_Area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Feathers</dc:creator>
  <cp:keywords/>
  <dc:description/>
  <cp:lastModifiedBy>Ryan Feathers</cp:lastModifiedBy>
  <cp:revision/>
  <dcterms:created xsi:type="dcterms:W3CDTF">2025-10-16T17:09:18Z</dcterms:created>
  <dcterms:modified xsi:type="dcterms:W3CDTF">2026-05-13T20:20:31Z</dcterms:modified>
  <cp:category/>
  <cp:contentStatus/>
</cp:coreProperties>
</file>